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8" windowHeight="10836" activeTab="0"/>
  </bookViews>
  <sheets>
    <sheet name="Бакалавр" sheetId="1" r:id="rId1"/>
    <sheet name="Спеціаліст" sheetId="2" r:id="rId2"/>
    <sheet name="післядиипломна освіта" sheetId="3" r:id="rId3"/>
    <sheet name="Магістр" sheetId="4" r:id="rId4"/>
  </sheets>
  <definedNames>
    <definedName name="_xlnm.Print_Area" localSheetId="0">'Бакалавр'!$A$1:$T$125</definedName>
    <definedName name="_xlnm.Print_Area" localSheetId="3">'Магістр'!$A$1:$U$55</definedName>
    <definedName name="_xlnm.Print_Area" localSheetId="2">'післядиипломна освіта'!$A$1:$U$68</definedName>
    <definedName name="_xlnm.Print_Area" localSheetId="1">'Спеціаліст'!$A$1:$V$68</definedName>
  </definedNames>
  <calcPr fullCalcOnLoad="1" refMode="R1C1"/>
</workbook>
</file>

<file path=xl/sharedStrings.xml><?xml version="1.0" encoding="utf-8"?>
<sst xmlns="http://schemas.openxmlformats.org/spreadsheetml/2006/main" count="499" uniqueCount="166">
  <si>
    <t xml:space="preserve">Результати </t>
  </si>
  <si>
    <t>Код та напрям підготовки бакалаврів</t>
  </si>
  <si>
    <t xml:space="preserve">Форма навчання </t>
  </si>
  <si>
    <t>Дипломів з відзнакою</t>
  </si>
  <si>
    <t>кіл.</t>
  </si>
  <si>
    <t>%</t>
  </si>
  <si>
    <t>1</t>
  </si>
  <si>
    <t>2</t>
  </si>
  <si>
    <t>3</t>
  </si>
  <si>
    <t>4</t>
  </si>
  <si>
    <t>5</t>
  </si>
  <si>
    <t>6</t>
  </si>
  <si>
    <t>8</t>
  </si>
  <si>
    <t>10</t>
  </si>
  <si>
    <t>Заочна</t>
  </si>
  <si>
    <t>Всього</t>
  </si>
  <si>
    <t>6.030510</t>
  </si>
  <si>
    <t>Товарознавство і торговельне підприємництво</t>
  </si>
  <si>
    <t>6.050701</t>
  </si>
  <si>
    <t>Електротехніка та електротехнології</t>
  </si>
  <si>
    <t xml:space="preserve">6.050802 </t>
  </si>
  <si>
    <t>Код та назва спеціальності підготовки</t>
  </si>
  <si>
    <t>Форма  навчання</t>
  </si>
  <si>
    <t>Рекомендовано до аспірантури</t>
  </si>
  <si>
    <t>Реальних дипломів</t>
  </si>
  <si>
    <t>Захистили науково-дослідні роботи</t>
  </si>
  <si>
    <t>Рекомендовано до впровадження</t>
  </si>
  <si>
    <t>"5"</t>
  </si>
  <si>
    <t>"4"</t>
  </si>
  <si>
    <t>"3"</t>
  </si>
  <si>
    <t>Фінанси і кредит</t>
  </si>
  <si>
    <t>Облік і аудит</t>
  </si>
  <si>
    <t>Ректор                                                                                                                                                                               С.М. Шкарлет</t>
  </si>
  <si>
    <t>Спеціальність</t>
  </si>
  <si>
    <t>Виконавець</t>
  </si>
  <si>
    <t>3-50-40</t>
  </si>
  <si>
    <t>Оцінки ЕК</t>
  </si>
  <si>
    <t>Василенко В.В.</t>
  </si>
  <si>
    <t>Рекомендовано ЕК до впровадження</t>
  </si>
  <si>
    <t>З реальними проектними і конструкторсько-технологічними розробками</t>
  </si>
  <si>
    <t>Результати</t>
  </si>
  <si>
    <t>Випускна кваліфікаційна робота</t>
  </si>
  <si>
    <t>Разом по факультету</t>
  </si>
  <si>
    <t>Разом по університету</t>
  </si>
  <si>
    <t>Ректор                                                                                                                                                                         С.М.Шкарлет</t>
  </si>
  <si>
    <t>Ректор                                                                                                                                                       С.М. Шкарлет</t>
  </si>
  <si>
    <t>атестації здобувачів вищої освіти за освітнім ступенем бакалавр</t>
  </si>
  <si>
    <t>Форма атестації</t>
  </si>
  <si>
    <t>14</t>
  </si>
  <si>
    <t>16</t>
  </si>
  <si>
    <t>атестації здобувачів вищої освіти за освітньо-кваліфікаційним рівнем "спеціаліст"</t>
  </si>
  <si>
    <t>Допущено до атестації</t>
  </si>
  <si>
    <t>Атестовано</t>
  </si>
  <si>
    <t>Кваліфікаційний комплексний іспит</t>
  </si>
  <si>
    <t>Факультет проектного менеджменту, управління якістю та життєзабезпечення</t>
  </si>
  <si>
    <t>Факультет електронних та інформаційних технологій</t>
  </si>
  <si>
    <t>Обліково-економічний факультет</t>
  </si>
  <si>
    <t>Фінансово-економічний факультет</t>
  </si>
  <si>
    <t xml:space="preserve">Кваліфікаційний комплексний іспит </t>
  </si>
  <si>
    <t>Інженерно-будівельний факультет</t>
  </si>
  <si>
    <t>Денна</t>
  </si>
  <si>
    <t>6.051701</t>
  </si>
  <si>
    <t>Харчові технології та інженерія</t>
  </si>
  <si>
    <t>6.030601</t>
  </si>
  <si>
    <t>Менеджмент</t>
  </si>
  <si>
    <t>Кваліфікаційний комплексний іспит з фаху</t>
  </si>
  <si>
    <t xml:space="preserve">Заочна </t>
  </si>
  <si>
    <t>Кваліфікаційний іспит з економічної теорії</t>
  </si>
  <si>
    <t>6.030508</t>
  </si>
  <si>
    <t>6.030502</t>
  </si>
  <si>
    <t>Економічна кібернетика</t>
  </si>
  <si>
    <t>6.030509</t>
  </si>
  <si>
    <t>Економіка підприємства</t>
  </si>
  <si>
    <t>Юридичний факультет</t>
  </si>
  <si>
    <t>6.030401</t>
  </si>
  <si>
    <t>Кваліфікаційний комплексний іспит (Господарське право, фінансове право)</t>
  </si>
  <si>
    <t>Кваліфікаційний іспит з цивільного права</t>
  </si>
  <si>
    <t>Кваліфікаційний іспит з теорії держави і права</t>
  </si>
  <si>
    <t>Правознавство (спеціалізація "Трудове право та право соціального забезпечення")</t>
  </si>
  <si>
    <t>Кваліфікаційний іспит з права соціального забезпечення</t>
  </si>
  <si>
    <t>Кваліфікаційний іспит з трудового права</t>
  </si>
  <si>
    <t>Правознавство (спеціалізація "Цивільне та господарське право")</t>
  </si>
  <si>
    <t>Кваліфікаційний іспит з господарського та господарського процесуального права</t>
  </si>
  <si>
    <t>Кваліфікаційний іспит з цивільного та цивільного процесуального права</t>
  </si>
  <si>
    <t>6.130102</t>
  </si>
  <si>
    <t>Соціальна робота</t>
  </si>
  <si>
    <t>Кваліфікаційний іспит з теорії і методики соціальної роботи</t>
  </si>
  <si>
    <t>Кваліфікаційний іспит з теорії і методів соціальної роботи</t>
  </si>
  <si>
    <t>6.060101</t>
  </si>
  <si>
    <t>Будівництво</t>
  </si>
  <si>
    <t>6.060103</t>
  </si>
  <si>
    <t>Гідротехніка (водні ресурси)</t>
  </si>
  <si>
    <t>6.080101</t>
  </si>
  <si>
    <t>Геодезія, картографія та землеустрій</t>
  </si>
  <si>
    <t>Механіко-технологічний факультет</t>
  </si>
  <si>
    <t>6.050502</t>
  </si>
  <si>
    <t>Інженерна механіка</t>
  </si>
  <si>
    <t>6.051801</t>
  </si>
  <si>
    <t>Деревооброблювальні технології</t>
  </si>
  <si>
    <t>6.050503</t>
  </si>
  <si>
    <t>Машинобудування</t>
  </si>
  <si>
    <t>6.070106</t>
  </si>
  <si>
    <t>Автомобільний транспорт</t>
  </si>
  <si>
    <t>6.050504</t>
  </si>
  <si>
    <t>Зварювання</t>
  </si>
  <si>
    <t>Факультет життєдіяльності, природокористування і туризму</t>
  </si>
  <si>
    <t>6.030505</t>
  </si>
  <si>
    <t>Управління персоналом та економіка праці</t>
  </si>
  <si>
    <t>6.030507</t>
  </si>
  <si>
    <t>Маркетинг</t>
  </si>
  <si>
    <t>6.090103</t>
  </si>
  <si>
    <t>Лісове і садово-паркове господарство</t>
  </si>
  <si>
    <t>6.090101</t>
  </si>
  <si>
    <t>Агрономія</t>
  </si>
  <si>
    <t>6.140103</t>
  </si>
  <si>
    <t>Туризм</t>
  </si>
  <si>
    <t>6.050102</t>
  </si>
  <si>
    <t>Комп'ютерна інженерія</t>
  </si>
  <si>
    <t>6.050103</t>
  </si>
  <si>
    <t>Програмна інженерія</t>
  </si>
  <si>
    <t>6.051001</t>
  </si>
  <si>
    <t>Метрологія та інформаційно-вимірювальні технології</t>
  </si>
  <si>
    <t>Кваліфікаційний комплексний іспит з фаху (в)</t>
  </si>
  <si>
    <t>Випускна кваліфікаційна робота (б)</t>
  </si>
  <si>
    <t>Заочна на базі ОКР мол. спеціаліст</t>
  </si>
  <si>
    <t>"2"</t>
  </si>
  <si>
    <t>18</t>
  </si>
  <si>
    <r>
      <rPr>
        <b/>
        <sz val="10"/>
        <rFont val="Times New Roman"/>
        <family val="1"/>
      </rPr>
      <t xml:space="preserve">7.03050901 </t>
    </r>
    <r>
      <rPr>
        <sz val="10"/>
        <rFont val="Times New Roman"/>
        <family val="1"/>
      </rPr>
      <t>Облік і аудит</t>
    </r>
  </si>
  <si>
    <r>
      <rPr>
        <b/>
        <sz val="10"/>
        <rFont val="Times New Roman"/>
        <family val="1"/>
      </rPr>
      <t xml:space="preserve">8.15010002 </t>
    </r>
    <r>
      <rPr>
        <sz val="10"/>
        <rFont val="Times New Roman"/>
        <family val="1"/>
      </rPr>
      <t>Державна служба</t>
    </r>
  </si>
  <si>
    <t>Результати атестації здобувачів вищої освіти за освітнім ступенем магістр</t>
  </si>
  <si>
    <t>у 2016-2017 навчальному році</t>
  </si>
  <si>
    <t xml:space="preserve">у 2016-2017 навчальному році </t>
  </si>
  <si>
    <t>072</t>
  </si>
  <si>
    <t>Фінанси, банківська справа та страхування (освітня програма - Банківська справа)</t>
  </si>
  <si>
    <t>051</t>
  </si>
  <si>
    <t>Економіка (освітня програма - Економічна кібернетика)</t>
  </si>
  <si>
    <t>081</t>
  </si>
  <si>
    <t>Право (освітня програма - Трудове право та право соціального забезпечення)</t>
  </si>
  <si>
    <t>Право (освітня програма - Цивільне та господарське право</t>
  </si>
  <si>
    <t>Соціальна робота (освітня програма - Соціальна робота)</t>
  </si>
  <si>
    <t>Будівництво та цивільна інженерія (освітня програма - Водопостачання та водовідведення)</t>
  </si>
  <si>
    <t>Геодезія та землеустрій (освітня програма - Землеустрій та кадастр)</t>
  </si>
  <si>
    <t>Автомобільний транспорт (освітня програма - Автомобілі та автомобільне господарство)</t>
  </si>
  <si>
    <t>073</t>
  </si>
  <si>
    <t>Менеджмент (освітня програма - Управління персоналом та економіка праці)</t>
  </si>
  <si>
    <t>075</t>
  </si>
  <si>
    <t>Маркетинг (освітня програма - Маркетинг)</t>
  </si>
  <si>
    <t>Туризм (освітня програма - Туризмознавство)</t>
  </si>
  <si>
    <t xml:space="preserve">у 2016- 2017 навчальному році </t>
  </si>
  <si>
    <t>Менеджмент (освітня програма - Якість, стандартизація та сертифікація)</t>
  </si>
  <si>
    <t>Менеджмент (освітня програма - Управління проектами)</t>
  </si>
  <si>
    <t>Факультет соціальних технологій, оздоровлення та реабілітації</t>
  </si>
  <si>
    <r>
      <rPr>
        <b/>
        <sz val="10"/>
        <rFont val="Times New Roman"/>
        <family val="1"/>
      </rPr>
      <t>141</t>
    </r>
    <r>
      <rPr>
        <sz val="10"/>
        <rFont val="Times New Roman"/>
        <family val="1"/>
      </rPr>
      <t xml:space="preserve"> Електроенергетика, електротехніка та електромеханіка</t>
    </r>
  </si>
  <si>
    <r>
      <rPr>
        <sz val="10"/>
        <rFont val="Times New Roman"/>
        <family val="1"/>
      </rPr>
      <t>Електронні пристрої та системи</t>
    </r>
    <r>
      <rPr>
        <b/>
        <sz val="10"/>
        <rFont val="Times New Roman"/>
        <family val="1"/>
      </rPr>
      <t xml:space="preserve"> </t>
    </r>
  </si>
  <si>
    <t>Правознавство (спеціалізація "Правове регулювання економіки")</t>
  </si>
  <si>
    <t>Виконавець:    Василенко В.В.</t>
  </si>
  <si>
    <t>6.050902</t>
  </si>
  <si>
    <t>Радіоелектронні апарати</t>
  </si>
  <si>
    <t>05.07.2017 р.</t>
  </si>
  <si>
    <t>6.010203</t>
  </si>
  <si>
    <t>Здоров'я людини</t>
  </si>
  <si>
    <t xml:space="preserve">у 2016 - 2017 навчальному році </t>
  </si>
  <si>
    <t>Результати атестації здобувачів вищої освіти за освітньо-кваліфікаційним рівнем "спеціаліст" (ЦП та ПК)</t>
  </si>
  <si>
    <t xml:space="preserve">Заочна   </t>
  </si>
  <si>
    <t>7.07010601</t>
  </si>
  <si>
    <t xml:space="preserve"> Автомобілі та автомобільне господарство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</si>
</sst>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0.0"/>
    <numFmt numFmtId="174" formatCode="0;\-0;&quot;-&quot;"/>
    <numFmt numFmtId="175" formatCode="0_ ;\-0\ "/>
    <numFmt numFmtId="176" formatCode="0.0;;&quot;-&quot;"/>
    <numFmt numFmtId="177" formatCode="0.0;\-0.0;&quot;-&quot;"/>
    <numFmt numFmtId="178" formatCode="#,##0_₴"/>
    <numFmt numFmtId="179" formatCode="[$-422]d\ mmmm\ yyyy&quot; р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20"/>
      <color rgb="FFFF0000"/>
      <name val="Times New Roman"/>
      <family val="1"/>
    </font>
    <font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" fontId="5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horizontal="left"/>
    </xf>
    <xf numFmtId="172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74" fontId="5" fillId="0" borderId="15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172" fontId="5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2" fontId="5" fillId="0" borderId="11" xfId="0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8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5" fillId="0" borderId="20" xfId="0" applyNumberFormat="1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172" fontId="5" fillId="0" borderId="22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21" xfId="57" applyNumberFormat="1" applyFont="1" applyFill="1" applyBorder="1" applyAlignment="1">
      <alignment horizontal="center" vertical="center"/>
    </xf>
    <xf numFmtId="1" fontId="6" fillId="0" borderId="13" xfId="57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left"/>
    </xf>
    <xf numFmtId="2" fontId="5" fillId="0" borderId="21" xfId="0" applyNumberFormat="1" applyFont="1" applyFill="1" applyBorder="1" applyAlignment="1">
      <alignment horizontal="left"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  <xf numFmtId="172" fontId="5" fillId="0" borderId="26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4" fontId="5" fillId="0" borderId="29" xfId="0" applyNumberFormat="1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72" fontId="6" fillId="0" borderId="3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4" fontId="5" fillId="0" borderId="17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172" fontId="6" fillId="0" borderId="3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top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72" fontId="5" fillId="0" borderId="3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2" fontId="5" fillId="0" borderId="32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177" fontId="51" fillId="0" borderId="0" xfId="0" applyNumberFormat="1" applyFont="1" applyBorder="1" applyAlignment="1">
      <alignment horizontal="center"/>
    </xf>
    <xf numFmtId="174" fontId="51" fillId="0" borderId="0" xfId="0" applyNumberFormat="1" applyFont="1" applyBorder="1" applyAlignment="1">
      <alignment horizontal="center"/>
    </xf>
    <xf numFmtId="0" fontId="51" fillId="0" borderId="0" xfId="57" applyNumberFormat="1" applyFont="1" applyBorder="1" applyAlignment="1">
      <alignment horizontal="center"/>
    </xf>
    <xf numFmtId="1" fontId="51" fillId="0" borderId="0" xfId="57" applyNumberFormat="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" fontId="51" fillId="0" borderId="0" xfId="0" applyNumberFormat="1" applyFont="1" applyAlignment="1">
      <alignment/>
    </xf>
    <xf numFmtId="1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1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right"/>
    </xf>
    <xf numFmtId="1" fontId="51" fillId="0" borderId="0" xfId="0" applyNumberFormat="1" applyFont="1" applyBorder="1" applyAlignment="1">
      <alignment horizontal="center" vertical="center"/>
    </xf>
    <xf numFmtId="177" fontId="51" fillId="0" borderId="0" xfId="0" applyNumberFormat="1" applyFont="1" applyBorder="1" applyAlignment="1">
      <alignment/>
    </xf>
    <xf numFmtId="0" fontId="51" fillId="0" borderId="0" xfId="0" applyNumberFormat="1" applyFont="1" applyBorder="1" applyAlignment="1">
      <alignment/>
    </xf>
    <xf numFmtId="173" fontId="51" fillId="0" borderId="0" xfId="0" applyNumberFormat="1" applyFont="1" applyBorder="1" applyAlignment="1">
      <alignment/>
    </xf>
    <xf numFmtId="176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/>
    </xf>
    <xf numFmtId="177" fontId="51" fillId="0" borderId="0" xfId="0" applyNumberFormat="1" applyFont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 wrapText="1"/>
    </xf>
    <xf numFmtId="176" fontId="51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wrapText="1"/>
    </xf>
    <xf numFmtId="174" fontId="51" fillId="0" borderId="0" xfId="57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8" fillId="0" borderId="13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0" fontId="5" fillId="0" borderId="0" xfId="57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" fontId="5" fillId="0" borderId="0" xfId="57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172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/>
    </xf>
    <xf numFmtId="173" fontId="7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3" fontId="6" fillId="0" borderId="0" xfId="0" applyNumberFormat="1" applyFont="1" applyAlignment="1">
      <alignment/>
    </xf>
    <xf numFmtId="172" fontId="5" fillId="0" borderId="41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/>
    </xf>
    <xf numFmtId="17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/>
    </xf>
    <xf numFmtId="0" fontId="6" fillId="0" borderId="38" xfId="0" applyFont="1" applyBorder="1" applyAlignment="1">
      <alignment horizontal="center" vertical="center" wrapText="1"/>
    </xf>
    <xf numFmtId="172" fontId="6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1" fontId="6" fillId="0" borderId="29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174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4" fontId="6" fillId="0" borderId="1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1" fillId="0" borderId="0" xfId="0" applyFont="1" applyBorder="1" applyAlignment="1">
      <alignment horizontal="left" vertical="center" wrapText="1"/>
    </xf>
    <xf numFmtId="0" fontId="9" fillId="0" borderId="3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6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49" fontId="51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/>
    </xf>
    <xf numFmtId="172" fontId="5" fillId="0" borderId="25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172" fontId="5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172" fontId="4" fillId="0" borderId="52" xfId="0" applyNumberFormat="1" applyFont="1" applyBorder="1" applyAlignment="1">
      <alignment horizontal="center"/>
    </xf>
    <xf numFmtId="172" fontId="5" fillId="0" borderId="56" xfId="0" applyNumberFormat="1" applyFont="1" applyBorder="1" applyAlignment="1">
      <alignment horizontal="center" vertical="center" wrapText="1"/>
    </xf>
    <xf numFmtId="172" fontId="5" fillId="0" borderId="47" xfId="0" applyNumberFormat="1" applyFont="1" applyBorder="1" applyAlignment="1">
      <alignment horizontal="center" vertical="center" wrapText="1"/>
    </xf>
    <xf numFmtId="172" fontId="5" fillId="0" borderId="34" xfId="0" applyNumberFormat="1" applyFont="1" applyBorder="1" applyAlignment="1">
      <alignment horizontal="center" vertical="center" wrapText="1"/>
    </xf>
    <xf numFmtId="172" fontId="5" fillId="0" borderId="26" xfId="0" applyNumberFormat="1" applyFont="1" applyBorder="1" applyAlignment="1">
      <alignment horizontal="center" vertical="center" wrapText="1"/>
    </xf>
    <xf numFmtId="172" fontId="5" fillId="0" borderId="41" xfId="0" applyNumberFormat="1" applyFont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9" fontId="5" fillId="0" borderId="62" xfId="0" applyNumberFormat="1" applyFont="1" applyBorder="1" applyAlignment="1">
      <alignment horizontal="left" vertical="center" wrapText="1"/>
    </xf>
    <xf numFmtId="49" fontId="5" fillId="0" borderId="63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showZeros="0" tabSelected="1" view="pageBreakPreview" zoomScaleSheetLayoutView="100" zoomScalePageLayoutView="0" workbookViewId="0" topLeftCell="A61">
      <selection activeCell="K117" sqref="K117"/>
    </sheetView>
  </sheetViews>
  <sheetFormatPr defaultColWidth="9.125" defaultRowHeight="12.75"/>
  <cols>
    <col min="1" max="1" width="8.125" style="2" customWidth="1"/>
    <col min="2" max="2" width="24.625" style="2" customWidth="1"/>
    <col min="3" max="3" width="8.875" style="154" customWidth="1"/>
    <col min="4" max="4" width="37.625" style="154" customWidth="1"/>
    <col min="5" max="5" width="8.375" style="2" customWidth="1"/>
    <col min="6" max="6" width="7.625" style="2" customWidth="1"/>
    <col min="7" max="7" width="4.50390625" style="2" customWidth="1"/>
    <col min="8" max="8" width="7.125" style="2" customWidth="1"/>
    <col min="9" max="9" width="4.50390625" style="2" customWidth="1"/>
    <col min="10" max="10" width="7.375" style="2" customWidth="1"/>
    <col min="11" max="11" width="4.875" style="2" customWidth="1"/>
    <col min="12" max="12" width="6.875" style="2" customWidth="1"/>
    <col min="13" max="13" width="4.50390625" style="2" customWidth="1"/>
    <col min="14" max="14" width="6.625" style="2" customWidth="1"/>
    <col min="15" max="15" width="3.875" style="2" customWidth="1"/>
    <col min="16" max="16" width="6.375" style="2" customWidth="1"/>
    <col min="17" max="17" width="4.125" style="2" customWidth="1"/>
    <col min="18" max="18" width="7.125" style="2" customWidth="1"/>
    <col min="19" max="19" width="4.00390625" style="2" customWidth="1"/>
    <col min="20" max="20" width="6.375" style="2" customWidth="1"/>
    <col min="21" max="21" width="11.00390625" style="2" bestFit="1" customWidth="1"/>
    <col min="22" max="16384" width="9.125" style="2" customWidth="1"/>
  </cols>
  <sheetData>
    <row r="1" spans="1:20" s="136" customFormat="1" ht="14.25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s="136" customFormat="1" ht="14.25" customHeight="1">
      <c r="A2" s="263" t="s">
        <v>46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20" s="136" customFormat="1" ht="19.5" customHeight="1" thickBot="1">
      <c r="A3" s="264" t="s">
        <v>130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</row>
    <row r="4" spans="1:20" s="19" customFormat="1" ht="22.5" customHeight="1">
      <c r="A4" s="265" t="s">
        <v>1</v>
      </c>
      <c r="B4" s="239"/>
      <c r="C4" s="268" t="s">
        <v>2</v>
      </c>
      <c r="D4" s="268" t="s">
        <v>47</v>
      </c>
      <c r="E4" s="268" t="s">
        <v>51</v>
      </c>
      <c r="F4" s="268" t="s">
        <v>52</v>
      </c>
      <c r="G4" s="238" t="s">
        <v>36</v>
      </c>
      <c r="H4" s="239"/>
      <c r="I4" s="239"/>
      <c r="J4" s="239"/>
      <c r="K4" s="239"/>
      <c r="L4" s="239"/>
      <c r="M4" s="239"/>
      <c r="N4" s="240"/>
      <c r="O4" s="238" t="s">
        <v>3</v>
      </c>
      <c r="P4" s="240"/>
      <c r="Q4" s="238" t="s">
        <v>39</v>
      </c>
      <c r="R4" s="240"/>
      <c r="S4" s="239" t="s">
        <v>38</v>
      </c>
      <c r="T4" s="243"/>
    </row>
    <row r="5" spans="1:20" s="19" customFormat="1" ht="56.25" customHeight="1">
      <c r="A5" s="266"/>
      <c r="B5" s="267"/>
      <c r="C5" s="269"/>
      <c r="D5" s="269"/>
      <c r="E5" s="269"/>
      <c r="F5" s="269"/>
      <c r="G5" s="241" t="s">
        <v>27</v>
      </c>
      <c r="H5" s="242"/>
      <c r="I5" s="241" t="s">
        <v>28</v>
      </c>
      <c r="J5" s="242"/>
      <c r="K5" s="241" t="s">
        <v>29</v>
      </c>
      <c r="L5" s="242"/>
      <c r="M5" s="241" t="s">
        <v>125</v>
      </c>
      <c r="N5" s="242"/>
      <c r="O5" s="270"/>
      <c r="P5" s="271"/>
      <c r="Q5" s="270"/>
      <c r="R5" s="271"/>
      <c r="S5" s="244"/>
      <c r="T5" s="245"/>
    </row>
    <row r="6" spans="1:20" s="19" customFormat="1" ht="13.5" thickBot="1">
      <c r="A6" s="266"/>
      <c r="B6" s="267"/>
      <c r="C6" s="269"/>
      <c r="D6" s="269"/>
      <c r="E6" s="269"/>
      <c r="F6" s="269"/>
      <c r="G6" s="137" t="s">
        <v>4</v>
      </c>
      <c r="H6" s="137" t="s">
        <v>5</v>
      </c>
      <c r="I6" s="137" t="s">
        <v>4</v>
      </c>
      <c r="J6" s="137" t="s">
        <v>5</v>
      </c>
      <c r="K6" s="137" t="s">
        <v>4</v>
      </c>
      <c r="L6" s="137" t="s">
        <v>5</v>
      </c>
      <c r="M6" s="137" t="s">
        <v>4</v>
      </c>
      <c r="N6" s="137" t="s">
        <v>5</v>
      </c>
      <c r="O6" s="137" t="s">
        <v>4</v>
      </c>
      <c r="P6" s="138" t="s">
        <v>5</v>
      </c>
      <c r="Q6" s="137" t="s">
        <v>4</v>
      </c>
      <c r="R6" s="137" t="s">
        <v>5</v>
      </c>
      <c r="S6" s="139" t="s">
        <v>4</v>
      </c>
      <c r="T6" s="140" t="s">
        <v>5</v>
      </c>
    </row>
    <row r="7" spans="1:20" s="19" customFormat="1" ht="13.5" thickBot="1">
      <c r="A7" s="276" t="s">
        <v>6</v>
      </c>
      <c r="B7" s="277"/>
      <c r="C7" s="141" t="s">
        <v>7</v>
      </c>
      <c r="D7" s="141" t="s">
        <v>8</v>
      </c>
      <c r="E7" s="141" t="s">
        <v>9</v>
      </c>
      <c r="F7" s="141" t="s">
        <v>10</v>
      </c>
      <c r="G7" s="141" t="s">
        <v>11</v>
      </c>
      <c r="H7" s="32">
        <v>7</v>
      </c>
      <c r="I7" s="141" t="s">
        <v>12</v>
      </c>
      <c r="J7" s="32">
        <v>9</v>
      </c>
      <c r="K7" s="141" t="s">
        <v>13</v>
      </c>
      <c r="L7" s="32">
        <v>11</v>
      </c>
      <c r="M7" s="32">
        <v>12</v>
      </c>
      <c r="N7" s="32">
        <v>13</v>
      </c>
      <c r="O7" s="141" t="s">
        <v>48</v>
      </c>
      <c r="P7" s="142">
        <v>15</v>
      </c>
      <c r="Q7" s="141" t="s">
        <v>49</v>
      </c>
      <c r="R7" s="143">
        <v>17</v>
      </c>
      <c r="S7" s="144" t="s">
        <v>126</v>
      </c>
      <c r="T7" s="145">
        <v>19</v>
      </c>
    </row>
    <row r="8" spans="1:20" s="29" customFormat="1" ht="14.25" customHeight="1" thickBot="1">
      <c r="A8" s="272" t="s">
        <v>54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4"/>
      <c r="S8" s="273"/>
      <c r="T8" s="275"/>
    </row>
    <row r="9" spans="1:21" ht="27" customHeight="1">
      <c r="A9" s="215" t="s">
        <v>16</v>
      </c>
      <c r="B9" s="236" t="s">
        <v>17</v>
      </c>
      <c r="C9" s="189" t="s">
        <v>60</v>
      </c>
      <c r="D9" s="74" t="s">
        <v>41</v>
      </c>
      <c r="E9" s="74">
        <v>22</v>
      </c>
      <c r="F9" s="78">
        <v>22</v>
      </c>
      <c r="G9" s="74">
        <v>18</v>
      </c>
      <c r="H9" s="76">
        <f aca="true" t="shared" si="0" ref="H9:H16">G9/F9</f>
        <v>0.8181818181818182</v>
      </c>
      <c r="I9" s="74">
        <v>3</v>
      </c>
      <c r="J9" s="76">
        <f aca="true" t="shared" si="1" ref="J9:J16">I9/F9</f>
        <v>0.13636363636363635</v>
      </c>
      <c r="K9" s="74">
        <v>1</v>
      </c>
      <c r="L9" s="76">
        <f aca="true" t="shared" si="2" ref="L9:L16">K9/F9</f>
        <v>0.045454545454545456</v>
      </c>
      <c r="M9" s="76"/>
      <c r="N9" s="76">
        <f aca="true" t="shared" si="3" ref="N9:N16">M9/F9</f>
        <v>0</v>
      </c>
      <c r="O9" s="74"/>
      <c r="P9" s="20">
        <f aca="true" t="shared" si="4" ref="P9:P16">O9/F9</f>
        <v>0</v>
      </c>
      <c r="Q9" s="74">
        <v>22</v>
      </c>
      <c r="R9" s="76">
        <f>Q9/F9</f>
        <v>1</v>
      </c>
      <c r="S9" s="74"/>
      <c r="T9" s="94">
        <f aca="true" t="shared" si="5" ref="T9:T16">S9/F9</f>
        <v>0</v>
      </c>
      <c r="U9" s="198"/>
    </row>
    <row r="10" spans="1:21" ht="27" customHeight="1" thickBot="1">
      <c r="A10" s="217"/>
      <c r="B10" s="237"/>
      <c r="C10" s="181" t="s">
        <v>14</v>
      </c>
      <c r="D10" s="65" t="s">
        <v>41</v>
      </c>
      <c r="E10" s="65">
        <v>7</v>
      </c>
      <c r="F10" s="14">
        <v>7</v>
      </c>
      <c r="G10" s="65">
        <v>5</v>
      </c>
      <c r="H10" s="66">
        <f t="shared" si="0"/>
        <v>0.7142857142857143</v>
      </c>
      <c r="I10" s="65"/>
      <c r="J10" s="66"/>
      <c r="K10" s="65">
        <v>2</v>
      </c>
      <c r="L10" s="66">
        <f t="shared" si="2"/>
        <v>0.2857142857142857</v>
      </c>
      <c r="M10" s="66"/>
      <c r="N10" s="66"/>
      <c r="O10" s="65"/>
      <c r="P10" s="66"/>
      <c r="Q10" s="65">
        <v>7</v>
      </c>
      <c r="R10" s="66">
        <f>Q10/F10</f>
        <v>1</v>
      </c>
      <c r="S10" s="65"/>
      <c r="T10" s="182"/>
      <c r="U10" s="198"/>
    </row>
    <row r="11" spans="1:21" ht="25.5" customHeight="1" thickBot="1">
      <c r="A11" s="177" t="s">
        <v>61</v>
      </c>
      <c r="B11" s="178" t="s">
        <v>62</v>
      </c>
      <c r="C11" s="197" t="s">
        <v>60</v>
      </c>
      <c r="D11" s="64" t="s">
        <v>41</v>
      </c>
      <c r="E11" s="64">
        <v>28</v>
      </c>
      <c r="F11" s="11">
        <v>28</v>
      </c>
      <c r="G11" s="64">
        <v>13</v>
      </c>
      <c r="H11" s="22">
        <f t="shared" si="0"/>
        <v>0.4642857142857143</v>
      </c>
      <c r="I11" s="64">
        <v>11</v>
      </c>
      <c r="J11" s="22">
        <f t="shared" si="1"/>
        <v>0.39285714285714285</v>
      </c>
      <c r="K11" s="64">
        <v>4</v>
      </c>
      <c r="L11" s="22">
        <f t="shared" si="2"/>
        <v>0.14285714285714285</v>
      </c>
      <c r="M11" s="22"/>
      <c r="N11" s="22">
        <f t="shared" si="3"/>
        <v>0</v>
      </c>
      <c r="O11" s="64">
        <v>3</v>
      </c>
      <c r="P11" s="22">
        <f t="shared" si="4"/>
        <v>0.10714285714285714</v>
      </c>
      <c r="Q11" s="64">
        <v>28</v>
      </c>
      <c r="R11" s="22">
        <f>Q11/F11</f>
        <v>1</v>
      </c>
      <c r="S11" s="11">
        <v>1</v>
      </c>
      <c r="T11" s="101">
        <f t="shared" si="5"/>
        <v>0.03571428571428571</v>
      </c>
      <c r="U11" s="198"/>
    </row>
    <row r="12" spans="1:21" ht="15.75" customHeight="1">
      <c r="A12" s="215" t="s">
        <v>63</v>
      </c>
      <c r="B12" s="233" t="s">
        <v>64</v>
      </c>
      <c r="C12" s="246" t="s">
        <v>60</v>
      </c>
      <c r="D12" s="184" t="s">
        <v>122</v>
      </c>
      <c r="E12" s="185">
        <v>39</v>
      </c>
      <c r="F12" s="185">
        <v>39</v>
      </c>
      <c r="G12" s="185">
        <v>18</v>
      </c>
      <c r="H12" s="9">
        <f t="shared" si="0"/>
        <v>0.46153846153846156</v>
      </c>
      <c r="I12" s="185">
        <v>9</v>
      </c>
      <c r="J12" s="9">
        <f t="shared" si="1"/>
        <v>0.23076923076923078</v>
      </c>
      <c r="K12" s="185">
        <v>12</v>
      </c>
      <c r="L12" s="9">
        <f t="shared" si="2"/>
        <v>0.3076923076923077</v>
      </c>
      <c r="M12" s="9"/>
      <c r="N12" s="76">
        <f t="shared" si="3"/>
        <v>0</v>
      </c>
      <c r="O12" s="195">
        <v>2</v>
      </c>
      <c r="P12" s="41">
        <f t="shared" si="4"/>
        <v>0.05128205128205128</v>
      </c>
      <c r="Q12" s="195"/>
      <c r="R12" s="41"/>
      <c r="S12" s="195"/>
      <c r="T12" s="94">
        <f t="shared" si="5"/>
        <v>0</v>
      </c>
      <c r="U12" s="198"/>
    </row>
    <row r="13" spans="1:21" ht="15.75" customHeight="1">
      <c r="A13" s="216"/>
      <c r="B13" s="234"/>
      <c r="C13" s="247"/>
      <c r="D13" s="50" t="s">
        <v>123</v>
      </c>
      <c r="E13" s="50">
        <v>28</v>
      </c>
      <c r="F13" s="59">
        <v>28</v>
      </c>
      <c r="G13" s="50">
        <v>16</v>
      </c>
      <c r="H13" s="51">
        <v>0.04</v>
      </c>
      <c r="I13" s="50">
        <v>4</v>
      </c>
      <c r="J13" s="51">
        <f t="shared" si="1"/>
        <v>0.14285714285714285</v>
      </c>
      <c r="K13" s="50">
        <v>8</v>
      </c>
      <c r="L13" s="51">
        <f t="shared" si="2"/>
        <v>0.2857142857142857</v>
      </c>
      <c r="M13" s="51"/>
      <c r="N13" s="51">
        <f t="shared" si="3"/>
        <v>0</v>
      </c>
      <c r="O13" s="59">
        <v>4</v>
      </c>
      <c r="P13" s="51">
        <f t="shared" si="4"/>
        <v>0.14285714285714285</v>
      </c>
      <c r="Q13" s="50"/>
      <c r="R13" s="51">
        <f>Q13/F13</f>
        <v>0</v>
      </c>
      <c r="S13" s="50"/>
      <c r="T13" s="187">
        <f t="shared" si="5"/>
        <v>0</v>
      </c>
      <c r="U13" s="198"/>
    </row>
    <row r="14" spans="1:21" ht="15.75" customHeight="1" thickBot="1">
      <c r="A14" s="217"/>
      <c r="B14" s="235"/>
      <c r="C14" s="190" t="s">
        <v>66</v>
      </c>
      <c r="D14" s="190" t="s">
        <v>65</v>
      </c>
      <c r="E14" s="201">
        <f>SUM(9+17)</f>
        <v>26</v>
      </c>
      <c r="F14" s="201">
        <f>SUM(9+17)</f>
        <v>26</v>
      </c>
      <c r="G14" s="201">
        <f>SUM(1+4)</f>
        <v>5</v>
      </c>
      <c r="H14" s="20">
        <f t="shared" si="0"/>
        <v>0.19230769230769232</v>
      </c>
      <c r="I14" s="201">
        <f>SUM(2+13)</f>
        <v>15</v>
      </c>
      <c r="J14" s="20">
        <f t="shared" si="1"/>
        <v>0.5769230769230769</v>
      </c>
      <c r="K14" s="201">
        <f>SUM(6+0)</f>
        <v>6</v>
      </c>
      <c r="L14" s="20">
        <f t="shared" si="2"/>
        <v>0.23076923076923078</v>
      </c>
      <c r="M14" s="20"/>
      <c r="N14" s="68">
        <f t="shared" si="3"/>
        <v>0</v>
      </c>
      <c r="O14" s="195"/>
      <c r="P14" s="41">
        <f t="shared" si="4"/>
        <v>0</v>
      </c>
      <c r="Q14" s="195"/>
      <c r="R14" s="41"/>
      <c r="S14" s="195"/>
      <c r="T14" s="98">
        <f t="shared" si="5"/>
        <v>0</v>
      </c>
      <c r="U14" s="198"/>
    </row>
    <row r="15" spans="1:21" s="19" customFormat="1" ht="15" customHeight="1" thickBot="1">
      <c r="A15" s="226" t="s">
        <v>42</v>
      </c>
      <c r="B15" s="227"/>
      <c r="C15" s="218" t="s">
        <v>60</v>
      </c>
      <c r="D15" s="219"/>
      <c r="E15" s="62">
        <f>SUM(E9+E11+E12+E13)</f>
        <v>117</v>
      </c>
      <c r="F15" s="62">
        <f>SUM(F9+F11+F12+F13)</f>
        <v>117</v>
      </c>
      <c r="G15" s="62">
        <f>SUM(G9+G11+G12+G13)</f>
        <v>65</v>
      </c>
      <c r="H15" s="33">
        <f t="shared" si="0"/>
        <v>0.5555555555555556</v>
      </c>
      <c r="I15" s="62">
        <f>SUM(I9+I11+I12+I13)</f>
        <v>27</v>
      </c>
      <c r="J15" s="33">
        <f t="shared" si="1"/>
        <v>0.23076923076923078</v>
      </c>
      <c r="K15" s="62">
        <f>SUM(K9+K11+K12+K13)</f>
        <v>25</v>
      </c>
      <c r="L15" s="33">
        <f t="shared" si="2"/>
        <v>0.21367521367521367</v>
      </c>
      <c r="M15" s="33">
        <f>SUM(M9+M11+M12+M13)</f>
        <v>0</v>
      </c>
      <c r="N15" s="33">
        <f t="shared" si="3"/>
        <v>0</v>
      </c>
      <c r="O15" s="32">
        <f>SUM(O9+O11+O12+O13)</f>
        <v>9</v>
      </c>
      <c r="P15" s="33">
        <f t="shared" si="4"/>
        <v>0.07692307692307693</v>
      </c>
      <c r="Q15" s="62">
        <f>SUM(Q9+Q11+Q12+Q13)</f>
        <v>50</v>
      </c>
      <c r="R15" s="33">
        <f>Q15/F15</f>
        <v>0.42735042735042733</v>
      </c>
      <c r="S15" s="32">
        <f>SUM(S9+S11+S12+S13)</f>
        <v>1</v>
      </c>
      <c r="T15" s="34">
        <f t="shared" si="5"/>
        <v>0.008547008547008548</v>
      </c>
      <c r="U15" s="186"/>
    </row>
    <row r="16" spans="1:21" s="19" customFormat="1" ht="14.25" customHeight="1" thickBot="1">
      <c r="A16" s="228"/>
      <c r="B16" s="229"/>
      <c r="C16" s="218" t="s">
        <v>14</v>
      </c>
      <c r="D16" s="219"/>
      <c r="E16" s="62">
        <f>SUM(E10+E14)</f>
        <v>33</v>
      </c>
      <c r="F16" s="62">
        <f>SUM(F10+F14)</f>
        <v>33</v>
      </c>
      <c r="G16" s="62">
        <f>SUM(G10+G14)</f>
        <v>10</v>
      </c>
      <c r="H16" s="33">
        <f t="shared" si="0"/>
        <v>0.30303030303030304</v>
      </c>
      <c r="I16" s="62">
        <f>SUM(I10+I14)</f>
        <v>15</v>
      </c>
      <c r="J16" s="33">
        <f t="shared" si="1"/>
        <v>0.45454545454545453</v>
      </c>
      <c r="K16" s="32">
        <f>SUM(K10+K14)</f>
        <v>8</v>
      </c>
      <c r="L16" s="33">
        <f t="shared" si="2"/>
        <v>0.24242424242424243</v>
      </c>
      <c r="M16" s="33">
        <f>SUM(M14)</f>
        <v>0</v>
      </c>
      <c r="N16" s="33">
        <f t="shared" si="3"/>
        <v>0</v>
      </c>
      <c r="O16" s="134">
        <f>SUM(O10+O14)</f>
        <v>0</v>
      </c>
      <c r="P16" s="202">
        <f t="shared" si="4"/>
        <v>0</v>
      </c>
      <c r="Q16" s="134">
        <f>SUM(Q10)</f>
        <v>7</v>
      </c>
      <c r="R16" s="83">
        <f>Q16/F16</f>
        <v>0.21212121212121213</v>
      </c>
      <c r="S16" s="134">
        <f>SUM(S10)</f>
        <v>0</v>
      </c>
      <c r="T16" s="34">
        <f t="shared" si="5"/>
        <v>0</v>
      </c>
      <c r="U16" s="186"/>
    </row>
    <row r="17" spans="1:21" s="29" customFormat="1" ht="12.75" customHeight="1" thickBot="1">
      <c r="A17" s="230" t="s">
        <v>57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2"/>
      <c r="U17" s="183"/>
    </row>
    <row r="18" spans="1:21" s="19" customFormat="1" ht="15" customHeight="1">
      <c r="A18" s="215" t="s">
        <v>68</v>
      </c>
      <c r="B18" s="233" t="s">
        <v>30</v>
      </c>
      <c r="C18" s="224" t="s">
        <v>60</v>
      </c>
      <c r="D18" s="174" t="s">
        <v>67</v>
      </c>
      <c r="E18" s="55">
        <f>SUM(34+60)</f>
        <v>94</v>
      </c>
      <c r="F18" s="56">
        <f>SUM(34+60)</f>
        <v>94</v>
      </c>
      <c r="G18" s="55">
        <f>SUM(6+18)</f>
        <v>24</v>
      </c>
      <c r="H18" s="57">
        <f aca="true" t="shared" si="6" ref="H18:H23">G18/F18</f>
        <v>0.2553191489361702</v>
      </c>
      <c r="I18" s="55">
        <f>SUM(14+18)</f>
        <v>32</v>
      </c>
      <c r="J18" s="57">
        <f aca="true" t="shared" si="7" ref="J18:J23">I18/F18</f>
        <v>0.3404255319148936</v>
      </c>
      <c r="K18" s="55">
        <f>SUM(14+24)</f>
        <v>38</v>
      </c>
      <c r="L18" s="57">
        <f aca="true" t="shared" si="8" ref="L18:L23">K18/F18</f>
        <v>0.40425531914893614</v>
      </c>
      <c r="M18" s="57"/>
      <c r="N18" s="76">
        <f aca="true" t="shared" si="9" ref="N18:N23">M18/F18</f>
        <v>0</v>
      </c>
      <c r="O18" s="55">
        <f>SUM(0+9)</f>
        <v>9</v>
      </c>
      <c r="P18" s="51">
        <f aca="true" t="shared" si="10" ref="P18:P23">O18/F18</f>
        <v>0.09574468085106383</v>
      </c>
      <c r="Q18" s="55"/>
      <c r="R18" s="57"/>
      <c r="S18" s="55"/>
      <c r="T18" s="58"/>
      <c r="U18" s="186"/>
    </row>
    <row r="19" spans="1:21" s="19" customFormat="1" ht="15" customHeight="1">
      <c r="A19" s="216"/>
      <c r="B19" s="234"/>
      <c r="C19" s="247"/>
      <c r="D19" s="190" t="s">
        <v>65</v>
      </c>
      <c r="E19" s="50">
        <f>SUM(34+60)</f>
        <v>94</v>
      </c>
      <c r="F19" s="59">
        <f>SUM(34+60)</f>
        <v>94</v>
      </c>
      <c r="G19" s="50">
        <f>SUM(17+18)</f>
        <v>35</v>
      </c>
      <c r="H19" s="51">
        <f t="shared" si="6"/>
        <v>0.3723404255319149</v>
      </c>
      <c r="I19" s="50">
        <f>SUM(9+20)</f>
        <v>29</v>
      </c>
      <c r="J19" s="51">
        <f t="shared" si="7"/>
        <v>0.30851063829787234</v>
      </c>
      <c r="K19" s="50">
        <f>SUM(8+22)</f>
        <v>30</v>
      </c>
      <c r="L19" s="51">
        <f t="shared" si="8"/>
        <v>0.3191489361702128</v>
      </c>
      <c r="M19" s="51"/>
      <c r="N19" s="51">
        <f t="shared" si="9"/>
        <v>0</v>
      </c>
      <c r="O19" s="50">
        <f>SUM(0+9)</f>
        <v>9</v>
      </c>
      <c r="P19" s="51">
        <f t="shared" si="10"/>
        <v>0.09574468085106383</v>
      </c>
      <c r="Q19" s="50"/>
      <c r="R19" s="51"/>
      <c r="S19" s="50"/>
      <c r="T19" s="187"/>
      <c r="U19" s="186"/>
    </row>
    <row r="20" spans="1:21" s="19" customFormat="1" ht="15" customHeight="1">
      <c r="A20" s="216"/>
      <c r="B20" s="234"/>
      <c r="C20" s="222" t="s">
        <v>66</v>
      </c>
      <c r="D20" s="190" t="s">
        <v>67</v>
      </c>
      <c r="E20" s="50">
        <f>SUM(11+14)</f>
        <v>25</v>
      </c>
      <c r="F20" s="59">
        <f>SUM(11+14)</f>
        <v>25</v>
      </c>
      <c r="G20" s="50">
        <f>SUM(2+0)</f>
        <v>2</v>
      </c>
      <c r="H20" s="51">
        <f t="shared" si="6"/>
        <v>0.08</v>
      </c>
      <c r="I20" s="50">
        <f>SUM(1+6)</f>
        <v>7</v>
      </c>
      <c r="J20" s="51">
        <f t="shared" si="7"/>
        <v>0.28</v>
      </c>
      <c r="K20" s="50">
        <f>SUM(8+8)</f>
        <v>16</v>
      </c>
      <c r="L20" s="51">
        <f t="shared" si="8"/>
        <v>0.64</v>
      </c>
      <c r="M20" s="51"/>
      <c r="N20" s="51">
        <f t="shared" si="9"/>
        <v>0</v>
      </c>
      <c r="O20" s="59">
        <f>SUM(1+0)</f>
        <v>1</v>
      </c>
      <c r="P20" s="51">
        <f t="shared" si="10"/>
        <v>0.04</v>
      </c>
      <c r="Q20" s="50"/>
      <c r="R20" s="51"/>
      <c r="S20" s="50"/>
      <c r="T20" s="187"/>
      <c r="U20" s="186"/>
    </row>
    <row r="21" spans="1:21" s="19" customFormat="1" ht="15" customHeight="1" thickBot="1">
      <c r="A21" s="216"/>
      <c r="B21" s="234"/>
      <c r="C21" s="246"/>
      <c r="D21" s="194" t="s">
        <v>65</v>
      </c>
      <c r="E21" s="201">
        <f>SUM(11+14)</f>
        <v>25</v>
      </c>
      <c r="F21" s="7">
        <f>SUM(11+14)</f>
        <v>25</v>
      </c>
      <c r="G21" s="201">
        <f>SUM(4+0)</f>
        <v>4</v>
      </c>
      <c r="H21" s="51">
        <f t="shared" si="6"/>
        <v>0.16</v>
      </c>
      <c r="I21" s="201">
        <f>SUM(2+8)</f>
        <v>10</v>
      </c>
      <c r="J21" s="51">
        <f t="shared" si="7"/>
        <v>0.4</v>
      </c>
      <c r="K21" s="201">
        <f>SUM(5+6)</f>
        <v>11</v>
      </c>
      <c r="L21" s="51">
        <f t="shared" si="8"/>
        <v>0.44</v>
      </c>
      <c r="M21" s="20"/>
      <c r="N21" s="51">
        <f t="shared" si="9"/>
        <v>0</v>
      </c>
      <c r="O21" s="201">
        <f>SUM(1+0)</f>
        <v>1</v>
      </c>
      <c r="P21" s="51">
        <f t="shared" si="10"/>
        <v>0.04</v>
      </c>
      <c r="Q21" s="201"/>
      <c r="R21" s="51"/>
      <c r="S21" s="201"/>
      <c r="T21" s="187"/>
      <c r="U21" s="186"/>
    </row>
    <row r="22" spans="1:21" s="19" customFormat="1" ht="13.5" customHeight="1" thickBot="1">
      <c r="A22" s="226" t="s">
        <v>42</v>
      </c>
      <c r="B22" s="227"/>
      <c r="C22" s="218" t="s">
        <v>60</v>
      </c>
      <c r="D22" s="219"/>
      <c r="E22" s="62">
        <f>SUM(E19)</f>
        <v>94</v>
      </c>
      <c r="F22" s="62">
        <f>SUM(F19)</f>
        <v>94</v>
      </c>
      <c r="G22" s="62">
        <f>SUM(G19)</f>
        <v>35</v>
      </c>
      <c r="H22" s="33">
        <f t="shared" si="6"/>
        <v>0.3723404255319149</v>
      </c>
      <c r="I22" s="62">
        <f>SUM(I19)</f>
        <v>29</v>
      </c>
      <c r="J22" s="33">
        <f t="shared" si="7"/>
        <v>0.30851063829787234</v>
      </c>
      <c r="K22" s="62">
        <f>SUM(K19)</f>
        <v>30</v>
      </c>
      <c r="L22" s="33">
        <f t="shared" si="8"/>
        <v>0.3191489361702128</v>
      </c>
      <c r="M22" s="33">
        <f>SUM(M19)</f>
        <v>0</v>
      </c>
      <c r="N22" s="33">
        <f t="shared" si="9"/>
        <v>0</v>
      </c>
      <c r="O22" s="62">
        <f>SUM(O19)</f>
        <v>9</v>
      </c>
      <c r="P22" s="33">
        <f t="shared" si="10"/>
        <v>0.09574468085106383</v>
      </c>
      <c r="Q22" s="62">
        <f>SUM(Q19)</f>
        <v>0</v>
      </c>
      <c r="R22" s="33"/>
      <c r="S22" s="62">
        <f>SUM(S19)</f>
        <v>0</v>
      </c>
      <c r="T22" s="34"/>
      <c r="U22" s="186"/>
    </row>
    <row r="23" spans="1:21" s="19" customFormat="1" ht="13.5" customHeight="1" thickBot="1">
      <c r="A23" s="228"/>
      <c r="B23" s="229"/>
      <c r="C23" s="218" t="s">
        <v>14</v>
      </c>
      <c r="D23" s="219"/>
      <c r="E23" s="62">
        <f>SUM(E21)</f>
        <v>25</v>
      </c>
      <c r="F23" s="62">
        <f>SUM(F21)</f>
        <v>25</v>
      </c>
      <c r="G23" s="62">
        <f>SUM(G21)</f>
        <v>4</v>
      </c>
      <c r="H23" s="33">
        <f t="shared" si="6"/>
        <v>0.16</v>
      </c>
      <c r="I23" s="62">
        <f>SUM(I21)</f>
        <v>10</v>
      </c>
      <c r="J23" s="33">
        <f t="shared" si="7"/>
        <v>0.4</v>
      </c>
      <c r="K23" s="62">
        <f>SUM(K21)</f>
        <v>11</v>
      </c>
      <c r="L23" s="33">
        <f t="shared" si="8"/>
        <v>0.44</v>
      </c>
      <c r="M23" s="33">
        <f>SUM(M21)</f>
        <v>0</v>
      </c>
      <c r="N23" s="33">
        <f t="shared" si="9"/>
        <v>0</v>
      </c>
      <c r="O23" s="62">
        <f>SUM(O21)</f>
        <v>1</v>
      </c>
      <c r="P23" s="33">
        <f t="shared" si="10"/>
        <v>0.04</v>
      </c>
      <c r="Q23" s="62"/>
      <c r="R23" s="83"/>
      <c r="S23" s="62"/>
      <c r="T23" s="84"/>
      <c r="U23" s="186"/>
    </row>
    <row r="24" spans="1:21" s="19" customFormat="1" ht="12.75" customHeight="1" thickBot="1">
      <c r="A24" s="230" t="s">
        <v>56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186"/>
    </row>
    <row r="25" spans="1:21" s="19" customFormat="1" ht="15.75" customHeight="1">
      <c r="A25" s="215" t="s">
        <v>71</v>
      </c>
      <c r="B25" s="233" t="s">
        <v>31</v>
      </c>
      <c r="C25" s="224" t="s">
        <v>60</v>
      </c>
      <c r="D25" s="174" t="s">
        <v>67</v>
      </c>
      <c r="E25" s="55">
        <f>SUM(20+36)</f>
        <v>56</v>
      </c>
      <c r="F25" s="56">
        <f>SUM(20+36)</f>
        <v>56</v>
      </c>
      <c r="G25" s="55">
        <f>SUM(3+3)</f>
        <v>6</v>
      </c>
      <c r="H25" s="57">
        <f aca="true" t="shared" si="11" ref="H25:H37">G25/F25</f>
        <v>0.10714285714285714</v>
      </c>
      <c r="I25" s="55">
        <f>SUM(8+7)</f>
        <v>15</v>
      </c>
      <c r="J25" s="57">
        <f aca="true" t="shared" si="12" ref="J25:J37">I25/F25</f>
        <v>0.26785714285714285</v>
      </c>
      <c r="K25" s="55">
        <f>SUM(9+26)</f>
        <v>35</v>
      </c>
      <c r="L25" s="57">
        <f aca="true" t="shared" si="13" ref="L25:L37">K25/F25</f>
        <v>0.625</v>
      </c>
      <c r="M25" s="57"/>
      <c r="N25" s="69">
        <f aca="true" t="shared" si="14" ref="N25:N34">M25/F25</f>
        <v>0</v>
      </c>
      <c r="O25" s="74"/>
      <c r="P25" s="76">
        <f aca="true" t="shared" si="15" ref="P25:P37">O25/F25</f>
        <v>0</v>
      </c>
      <c r="Q25" s="55"/>
      <c r="R25" s="57"/>
      <c r="S25" s="55"/>
      <c r="T25" s="58"/>
      <c r="U25" s="186"/>
    </row>
    <row r="26" spans="1:21" s="19" customFormat="1" ht="15.75" customHeight="1">
      <c r="A26" s="216"/>
      <c r="B26" s="234"/>
      <c r="C26" s="247"/>
      <c r="D26" s="190" t="s">
        <v>65</v>
      </c>
      <c r="E26" s="50">
        <f>SUM(20+36)</f>
        <v>56</v>
      </c>
      <c r="F26" s="50">
        <f>SUM(20+36)</f>
        <v>56</v>
      </c>
      <c r="G26" s="50">
        <f>SUM(5+5)</f>
        <v>10</v>
      </c>
      <c r="H26" s="51">
        <f t="shared" si="11"/>
        <v>0.17857142857142858</v>
      </c>
      <c r="I26" s="50">
        <f>SUM(7+22)</f>
        <v>29</v>
      </c>
      <c r="J26" s="51">
        <f t="shared" si="12"/>
        <v>0.5178571428571429</v>
      </c>
      <c r="K26" s="50">
        <f>SUM(8+9)</f>
        <v>17</v>
      </c>
      <c r="L26" s="51">
        <f t="shared" si="13"/>
        <v>0.30357142857142855</v>
      </c>
      <c r="M26" s="51"/>
      <c r="N26" s="100">
        <f t="shared" si="14"/>
        <v>0</v>
      </c>
      <c r="O26" s="50"/>
      <c r="P26" s="51">
        <f t="shared" si="15"/>
        <v>0</v>
      </c>
      <c r="Q26" s="50"/>
      <c r="R26" s="51"/>
      <c r="S26" s="50"/>
      <c r="T26" s="187"/>
      <c r="U26" s="186"/>
    </row>
    <row r="27" spans="1:21" s="19" customFormat="1" ht="15.75" customHeight="1">
      <c r="A27" s="216"/>
      <c r="B27" s="234"/>
      <c r="C27" s="222" t="s">
        <v>66</v>
      </c>
      <c r="D27" s="190" t="s">
        <v>67</v>
      </c>
      <c r="E27" s="59">
        <f>SUM(17+11)</f>
        <v>28</v>
      </c>
      <c r="F27" s="59">
        <f>SUM(17+11)</f>
        <v>28</v>
      </c>
      <c r="G27" s="50"/>
      <c r="H27" s="51">
        <f t="shared" si="11"/>
        <v>0</v>
      </c>
      <c r="I27" s="50">
        <f>SUM(6+7)</f>
        <v>13</v>
      </c>
      <c r="J27" s="51">
        <f t="shared" si="12"/>
        <v>0.4642857142857143</v>
      </c>
      <c r="K27" s="50">
        <f>SUM(11+4)</f>
        <v>15</v>
      </c>
      <c r="L27" s="51">
        <f t="shared" si="13"/>
        <v>0.5357142857142857</v>
      </c>
      <c r="M27" s="51"/>
      <c r="N27" s="100">
        <f t="shared" si="14"/>
        <v>0</v>
      </c>
      <c r="O27" s="50"/>
      <c r="P27" s="51">
        <f t="shared" si="15"/>
        <v>0</v>
      </c>
      <c r="Q27" s="50"/>
      <c r="R27" s="51"/>
      <c r="S27" s="50"/>
      <c r="T27" s="187"/>
      <c r="U27" s="186"/>
    </row>
    <row r="28" spans="1:21" s="19" customFormat="1" ht="15.75" customHeight="1">
      <c r="A28" s="216"/>
      <c r="B28" s="234"/>
      <c r="C28" s="246"/>
      <c r="D28" s="190" t="s">
        <v>65</v>
      </c>
      <c r="E28" s="201">
        <f>SUM(17+11)</f>
        <v>28</v>
      </c>
      <c r="F28" s="201">
        <f>SUM(17+11)</f>
        <v>28</v>
      </c>
      <c r="G28" s="201">
        <f>SUM(0+0)</f>
        <v>0</v>
      </c>
      <c r="H28" s="51">
        <f t="shared" si="11"/>
        <v>0</v>
      </c>
      <c r="I28" s="201">
        <f>SUM(5+2)</f>
        <v>7</v>
      </c>
      <c r="J28" s="51">
        <f t="shared" si="12"/>
        <v>0.25</v>
      </c>
      <c r="K28" s="201">
        <f>SUM(12+9)</f>
        <v>21</v>
      </c>
      <c r="L28" s="51">
        <f t="shared" si="13"/>
        <v>0.75</v>
      </c>
      <c r="M28" s="20"/>
      <c r="N28" s="100">
        <f t="shared" si="14"/>
        <v>0</v>
      </c>
      <c r="O28" s="50"/>
      <c r="P28" s="51">
        <f t="shared" si="15"/>
        <v>0</v>
      </c>
      <c r="Q28" s="201"/>
      <c r="R28" s="51"/>
      <c r="S28" s="201"/>
      <c r="T28" s="187"/>
      <c r="U28" s="186"/>
    </row>
    <row r="29" spans="1:21" s="19" customFormat="1" ht="18" customHeight="1">
      <c r="A29" s="216"/>
      <c r="B29" s="234"/>
      <c r="C29" s="222" t="s">
        <v>124</v>
      </c>
      <c r="D29" s="190" t="s">
        <v>67</v>
      </c>
      <c r="E29" s="201">
        <v>30</v>
      </c>
      <c r="F29" s="7">
        <v>30</v>
      </c>
      <c r="G29" s="201"/>
      <c r="H29" s="51">
        <f t="shared" si="11"/>
        <v>0</v>
      </c>
      <c r="I29" s="201">
        <v>2</v>
      </c>
      <c r="J29" s="51">
        <f t="shared" si="12"/>
        <v>0.06666666666666667</v>
      </c>
      <c r="K29" s="201">
        <v>28</v>
      </c>
      <c r="L29" s="51">
        <f t="shared" si="13"/>
        <v>0.9333333333333333</v>
      </c>
      <c r="M29" s="20"/>
      <c r="N29" s="100">
        <f t="shared" si="14"/>
        <v>0</v>
      </c>
      <c r="O29" s="50"/>
      <c r="P29" s="51">
        <f t="shared" si="15"/>
        <v>0</v>
      </c>
      <c r="Q29" s="201"/>
      <c r="R29" s="51"/>
      <c r="S29" s="201"/>
      <c r="T29" s="187"/>
      <c r="U29" s="186"/>
    </row>
    <row r="30" spans="1:21" s="29" customFormat="1" ht="33" customHeight="1" thickBot="1">
      <c r="A30" s="217"/>
      <c r="B30" s="235"/>
      <c r="C30" s="278"/>
      <c r="D30" s="181" t="s">
        <v>65</v>
      </c>
      <c r="E30" s="65">
        <v>30</v>
      </c>
      <c r="F30" s="14">
        <v>30</v>
      </c>
      <c r="G30" s="65">
        <v>1</v>
      </c>
      <c r="H30" s="51">
        <f t="shared" si="11"/>
        <v>0.03333333333333333</v>
      </c>
      <c r="I30" s="65">
        <v>9</v>
      </c>
      <c r="J30" s="51">
        <f t="shared" si="12"/>
        <v>0.3</v>
      </c>
      <c r="K30" s="65">
        <v>20</v>
      </c>
      <c r="L30" s="51">
        <f t="shared" si="13"/>
        <v>0.6666666666666666</v>
      </c>
      <c r="M30" s="20"/>
      <c r="N30" s="83">
        <f t="shared" si="14"/>
        <v>0</v>
      </c>
      <c r="O30" s="67"/>
      <c r="P30" s="9">
        <f t="shared" si="15"/>
        <v>0</v>
      </c>
      <c r="Q30" s="65"/>
      <c r="R30" s="51"/>
      <c r="S30" s="65"/>
      <c r="T30" s="187"/>
      <c r="U30" s="183"/>
    </row>
    <row r="31" spans="1:21" s="19" customFormat="1" ht="15.75" customHeight="1">
      <c r="A31" s="215" t="s">
        <v>69</v>
      </c>
      <c r="B31" s="233" t="s">
        <v>70</v>
      </c>
      <c r="C31" s="224" t="s">
        <v>60</v>
      </c>
      <c r="D31" s="174" t="s">
        <v>67</v>
      </c>
      <c r="E31" s="55">
        <v>20</v>
      </c>
      <c r="F31" s="56">
        <v>20</v>
      </c>
      <c r="G31" s="55">
        <v>4</v>
      </c>
      <c r="H31" s="57">
        <f t="shared" si="11"/>
        <v>0.2</v>
      </c>
      <c r="I31" s="55">
        <v>4</v>
      </c>
      <c r="J31" s="57">
        <f t="shared" si="12"/>
        <v>0.2</v>
      </c>
      <c r="K31" s="55">
        <v>12</v>
      </c>
      <c r="L31" s="57">
        <f t="shared" si="13"/>
        <v>0.6</v>
      </c>
      <c r="M31" s="57"/>
      <c r="N31" s="69">
        <f t="shared" si="14"/>
        <v>0</v>
      </c>
      <c r="O31" s="78"/>
      <c r="P31" s="76">
        <f t="shared" si="15"/>
        <v>0</v>
      </c>
      <c r="Q31" s="74"/>
      <c r="R31" s="57"/>
      <c r="S31" s="55"/>
      <c r="T31" s="58"/>
      <c r="U31" s="186"/>
    </row>
    <row r="32" spans="1:21" s="19" customFormat="1" ht="15.75" customHeight="1" thickBot="1">
      <c r="A32" s="217"/>
      <c r="B32" s="235"/>
      <c r="C32" s="225"/>
      <c r="D32" s="181" t="s">
        <v>65</v>
      </c>
      <c r="E32" s="65">
        <v>20</v>
      </c>
      <c r="F32" s="14">
        <v>20</v>
      </c>
      <c r="G32" s="65">
        <v>8</v>
      </c>
      <c r="H32" s="66">
        <f t="shared" si="11"/>
        <v>0.4</v>
      </c>
      <c r="I32" s="65">
        <v>6</v>
      </c>
      <c r="J32" s="66">
        <f t="shared" si="12"/>
        <v>0.3</v>
      </c>
      <c r="K32" s="65">
        <v>6</v>
      </c>
      <c r="L32" s="66">
        <f t="shared" si="13"/>
        <v>0.3</v>
      </c>
      <c r="M32" s="66"/>
      <c r="N32" s="188">
        <f t="shared" si="14"/>
        <v>0</v>
      </c>
      <c r="O32" s="65"/>
      <c r="P32" s="66">
        <f t="shared" si="15"/>
        <v>0</v>
      </c>
      <c r="Q32" s="65"/>
      <c r="R32" s="66"/>
      <c r="S32" s="65"/>
      <c r="T32" s="182"/>
      <c r="U32" s="186"/>
    </row>
    <row r="33" spans="1:21" s="19" customFormat="1" ht="15.75" customHeight="1">
      <c r="A33" s="215" t="s">
        <v>69</v>
      </c>
      <c r="B33" s="233" t="s">
        <v>72</v>
      </c>
      <c r="C33" s="224" t="s">
        <v>60</v>
      </c>
      <c r="D33" s="174" t="s">
        <v>67</v>
      </c>
      <c r="E33" s="55">
        <v>15</v>
      </c>
      <c r="F33" s="56">
        <v>15</v>
      </c>
      <c r="G33" s="55">
        <v>3</v>
      </c>
      <c r="H33" s="57">
        <f t="shared" si="11"/>
        <v>0.2</v>
      </c>
      <c r="I33" s="55">
        <v>3</v>
      </c>
      <c r="J33" s="57">
        <f t="shared" si="12"/>
        <v>0.2</v>
      </c>
      <c r="K33" s="55">
        <v>9</v>
      </c>
      <c r="L33" s="57">
        <f t="shared" si="13"/>
        <v>0.6</v>
      </c>
      <c r="M33" s="57"/>
      <c r="N33" s="69">
        <f t="shared" si="14"/>
        <v>0</v>
      </c>
      <c r="O33" s="74"/>
      <c r="P33" s="76">
        <f t="shared" si="15"/>
        <v>0</v>
      </c>
      <c r="Q33" s="55"/>
      <c r="R33" s="57"/>
      <c r="S33" s="55"/>
      <c r="T33" s="58"/>
      <c r="U33" s="186"/>
    </row>
    <row r="34" spans="1:21" s="19" customFormat="1" ht="15.75" customHeight="1" thickBot="1">
      <c r="A34" s="217"/>
      <c r="B34" s="235"/>
      <c r="C34" s="225"/>
      <c r="D34" s="181" t="s">
        <v>65</v>
      </c>
      <c r="E34" s="65">
        <v>15</v>
      </c>
      <c r="F34" s="14">
        <v>15</v>
      </c>
      <c r="G34" s="65">
        <v>4</v>
      </c>
      <c r="H34" s="66">
        <f t="shared" si="11"/>
        <v>0.26666666666666666</v>
      </c>
      <c r="I34" s="65">
        <v>4</v>
      </c>
      <c r="J34" s="66">
        <f t="shared" si="12"/>
        <v>0.26666666666666666</v>
      </c>
      <c r="K34" s="65">
        <v>7</v>
      </c>
      <c r="L34" s="66">
        <f t="shared" si="13"/>
        <v>0.4666666666666667</v>
      </c>
      <c r="M34" s="66"/>
      <c r="N34" s="188">
        <f t="shared" si="14"/>
        <v>0</v>
      </c>
      <c r="O34" s="65"/>
      <c r="P34" s="66">
        <f t="shared" si="15"/>
        <v>0</v>
      </c>
      <c r="Q34" s="65"/>
      <c r="R34" s="66"/>
      <c r="S34" s="65"/>
      <c r="T34" s="182"/>
      <c r="U34" s="186"/>
    </row>
    <row r="35" spans="1:21" s="19" customFormat="1" ht="12.75" customHeight="1" thickBot="1">
      <c r="A35" s="226" t="s">
        <v>42</v>
      </c>
      <c r="B35" s="227"/>
      <c r="C35" s="218" t="s">
        <v>60</v>
      </c>
      <c r="D35" s="219"/>
      <c r="E35" s="62">
        <f>SUM(E26+E32+E34)</f>
        <v>91</v>
      </c>
      <c r="F35" s="62">
        <f>SUM(F26+F32+F34)</f>
        <v>91</v>
      </c>
      <c r="G35" s="62">
        <f>SUM(G26+G32+G34)</f>
        <v>22</v>
      </c>
      <c r="H35" s="33">
        <f t="shared" si="11"/>
        <v>0.24175824175824176</v>
      </c>
      <c r="I35" s="62">
        <f>SUM(I26+I32+I34)</f>
        <v>39</v>
      </c>
      <c r="J35" s="33">
        <f t="shared" si="12"/>
        <v>0.42857142857142855</v>
      </c>
      <c r="K35" s="62">
        <f>SUM(K26+K32+K34)</f>
        <v>30</v>
      </c>
      <c r="L35" s="33">
        <f t="shared" si="13"/>
        <v>0.32967032967032966</v>
      </c>
      <c r="M35" s="33">
        <f>SUM(M26+M32+M34)</f>
        <v>0</v>
      </c>
      <c r="N35" s="33">
        <f>M35/F35</f>
        <v>0</v>
      </c>
      <c r="O35" s="62">
        <f>SUM(O26+O32+O34)</f>
        <v>0</v>
      </c>
      <c r="P35" s="73">
        <f t="shared" si="15"/>
        <v>0</v>
      </c>
      <c r="Q35" s="62">
        <f>SUM(Q27)</f>
        <v>0</v>
      </c>
      <c r="R35" s="33"/>
      <c r="S35" s="62"/>
      <c r="T35" s="34"/>
      <c r="U35" s="186"/>
    </row>
    <row r="36" spans="1:21" s="19" customFormat="1" ht="12.75" customHeight="1" thickBot="1">
      <c r="A36" s="255"/>
      <c r="B36" s="256"/>
      <c r="C36" s="218" t="s">
        <v>14</v>
      </c>
      <c r="D36" s="219"/>
      <c r="E36" s="62">
        <f>SUM(E28)</f>
        <v>28</v>
      </c>
      <c r="F36" s="62">
        <f>SUM(F28)</f>
        <v>28</v>
      </c>
      <c r="G36" s="62">
        <f>SUM(G28)</f>
        <v>0</v>
      </c>
      <c r="H36" s="33">
        <f t="shared" si="11"/>
        <v>0</v>
      </c>
      <c r="I36" s="62">
        <f>SUM(I28)</f>
        <v>7</v>
      </c>
      <c r="J36" s="33">
        <f t="shared" si="12"/>
        <v>0.25</v>
      </c>
      <c r="K36" s="62">
        <f>SUM(K28)</f>
        <v>21</v>
      </c>
      <c r="L36" s="33">
        <f t="shared" si="13"/>
        <v>0.75</v>
      </c>
      <c r="M36" s="33">
        <f>SUM(M28)</f>
        <v>0</v>
      </c>
      <c r="N36" s="33">
        <f>M36/F36</f>
        <v>0</v>
      </c>
      <c r="O36" s="62">
        <f>SUM(O28)</f>
        <v>0</v>
      </c>
      <c r="P36" s="73">
        <f t="shared" si="15"/>
        <v>0</v>
      </c>
      <c r="Q36" s="62"/>
      <c r="R36" s="33"/>
      <c r="S36" s="62"/>
      <c r="T36" s="34"/>
      <c r="U36" s="186"/>
    </row>
    <row r="37" spans="1:21" s="19" customFormat="1" ht="12.75" customHeight="1" thickBot="1">
      <c r="A37" s="228"/>
      <c r="B37" s="229"/>
      <c r="C37" s="218" t="s">
        <v>124</v>
      </c>
      <c r="D37" s="219"/>
      <c r="E37" s="62">
        <f>SUM(E30)</f>
        <v>30</v>
      </c>
      <c r="F37" s="62">
        <f>SUM(F30)</f>
        <v>30</v>
      </c>
      <c r="G37" s="62">
        <f>SUM(G30)</f>
        <v>1</v>
      </c>
      <c r="H37" s="33">
        <f t="shared" si="11"/>
        <v>0.03333333333333333</v>
      </c>
      <c r="I37" s="62">
        <f>SUM(I30)</f>
        <v>9</v>
      </c>
      <c r="J37" s="33">
        <f t="shared" si="12"/>
        <v>0.3</v>
      </c>
      <c r="K37" s="62">
        <f>SUM(K30)</f>
        <v>20</v>
      </c>
      <c r="L37" s="33">
        <f t="shared" si="13"/>
        <v>0.6666666666666666</v>
      </c>
      <c r="M37" s="33">
        <f>SUM(M30)</f>
        <v>0</v>
      </c>
      <c r="N37" s="33">
        <f>M37/F37</f>
        <v>0</v>
      </c>
      <c r="O37" s="62">
        <f>SUM(O30)</f>
        <v>0</v>
      </c>
      <c r="P37" s="33">
        <f t="shared" si="15"/>
        <v>0</v>
      </c>
      <c r="Q37" s="62">
        <f>SUM(Q30)</f>
        <v>0</v>
      </c>
      <c r="R37" s="33"/>
      <c r="S37" s="62"/>
      <c r="T37" s="34"/>
      <c r="U37" s="186"/>
    </row>
    <row r="38" spans="1:21" s="19" customFormat="1" ht="15.75" customHeight="1" thickBot="1">
      <c r="A38" s="230" t="s">
        <v>73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2"/>
      <c r="U38" s="186"/>
    </row>
    <row r="39" spans="1:21" s="19" customFormat="1" ht="29.25" customHeight="1">
      <c r="A39" s="215" t="s">
        <v>74</v>
      </c>
      <c r="B39" s="233" t="s">
        <v>154</v>
      </c>
      <c r="C39" s="224" t="s">
        <v>60</v>
      </c>
      <c r="D39" s="174" t="s">
        <v>75</v>
      </c>
      <c r="E39" s="55">
        <v>21</v>
      </c>
      <c r="F39" s="56">
        <v>21</v>
      </c>
      <c r="G39" s="55">
        <v>6</v>
      </c>
      <c r="H39" s="57">
        <f aca="true" t="shared" si="16" ref="H39:H54">G39/F39</f>
        <v>0.2857142857142857</v>
      </c>
      <c r="I39" s="55">
        <v>3</v>
      </c>
      <c r="J39" s="57">
        <f aca="true" t="shared" si="17" ref="J39:J54">I39/F39</f>
        <v>0.14285714285714285</v>
      </c>
      <c r="K39" s="55">
        <v>12</v>
      </c>
      <c r="L39" s="57">
        <f aca="true" t="shared" si="18" ref="L39:L54">K39/F39</f>
        <v>0.5714285714285714</v>
      </c>
      <c r="M39" s="57"/>
      <c r="N39" s="69">
        <f aca="true" t="shared" si="19" ref="N39:N50">M39/F39</f>
        <v>0</v>
      </c>
      <c r="O39" s="74"/>
      <c r="P39" s="20">
        <f aca="true" t="shared" si="20" ref="P39:P54">O39/F39</f>
        <v>0</v>
      </c>
      <c r="Q39" s="55"/>
      <c r="R39" s="57"/>
      <c r="S39" s="55"/>
      <c r="T39" s="58"/>
      <c r="U39" s="186"/>
    </row>
    <row r="40" spans="1:21" s="19" customFormat="1" ht="20.25" customHeight="1">
      <c r="A40" s="216"/>
      <c r="B40" s="234"/>
      <c r="C40" s="246"/>
      <c r="D40" s="184" t="s">
        <v>76</v>
      </c>
      <c r="E40" s="185">
        <v>21</v>
      </c>
      <c r="F40" s="63">
        <v>21</v>
      </c>
      <c r="G40" s="185">
        <v>4</v>
      </c>
      <c r="H40" s="9">
        <f t="shared" si="16"/>
        <v>0.19047619047619047</v>
      </c>
      <c r="I40" s="185">
        <v>7</v>
      </c>
      <c r="J40" s="9">
        <f t="shared" si="17"/>
        <v>0.3333333333333333</v>
      </c>
      <c r="K40" s="185">
        <v>10</v>
      </c>
      <c r="L40" s="9">
        <f t="shared" si="18"/>
        <v>0.47619047619047616</v>
      </c>
      <c r="M40" s="9"/>
      <c r="N40" s="210">
        <f t="shared" si="19"/>
        <v>0</v>
      </c>
      <c r="O40" s="50"/>
      <c r="P40" s="51">
        <f t="shared" si="20"/>
        <v>0</v>
      </c>
      <c r="Q40" s="185"/>
      <c r="R40" s="9"/>
      <c r="S40" s="185"/>
      <c r="T40" s="18"/>
      <c r="U40" s="186"/>
    </row>
    <row r="41" spans="1:21" s="19" customFormat="1" ht="18" customHeight="1">
      <c r="A41" s="216"/>
      <c r="B41" s="234"/>
      <c r="C41" s="247"/>
      <c r="D41" s="190" t="s">
        <v>77</v>
      </c>
      <c r="E41" s="50">
        <v>21</v>
      </c>
      <c r="F41" s="59">
        <v>21</v>
      </c>
      <c r="G41" s="50">
        <v>6</v>
      </c>
      <c r="H41" s="51">
        <f t="shared" si="16"/>
        <v>0.2857142857142857</v>
      </c>
      <c r="I41" s="50">
        <v>4</v>
      </c>
      <c r="J41" s="51">
        <f t="shared" si="17"/>
        <v>0.19047619047619047</v>
      </c>
      <c r="K41" s="50">
        <v>11</v>
      </c>
      <c r="L41" s="51">
        <f t="shared" si="18"/>
        <v>0.5238095238095238</v>
      </c>
      <c r="M41" s="51"/>
      <c r="N41" s="100">
        <f t="shared" si="19"/>
        <v>0</v>
      </c>
      <c r="O41" s="50"/>
      <c r="P41" s="51">
        <f t="shared" si="20"/>
        <v>0</v>
      </c>
      <c r="Q41" s="50"/>
      <c r="R41" s="51"/>
      <c r="S41" s="50"/>
      <c r="T41" s="187"/>
      <c r="U41" s="186"/>
    </row>
    <row r="42" spans="1:21" s="19" customFormat="1" ht="29.25" customHeight="1">
      <c r="A42" s="216"/>
      <c r="B42" s="234"/>
      <c r="C42" s="247" t="s">
        <v>66</v>
      </c>
      <c r="D42" s="184" t="s">
        <v>75</v>
      </c>
      <c r="E42" s="50">
        <v>23</v>
      </c>
      <c r="F42" s="59">
        <v>23</v>
      </c>
      <c r="G42" s="50">
        <v>5</v>
      </c>
      <c r="H42" s="51">
        <f t="shared" si="16"/>
        <v>0.21739130434782608</v>
      </c>
      <c r="I42" s="50">
        <v>9</v>
      </c>
      <c r="J42" s="51">
        <f t="shared" si="17"/>
        <v>0.391304347826087</v>
      </c>
      <c r="K42" s="50">
        <v>9</v>
      </c>
      <c r="L42" s="51">
        <f t="shared" si="18"/>
        <v>0.391304347826087</v>
      </c>
      <c r="M42" s="51"/>
      <c r="N42" s="100">
        <f t="shared" si="19"/>
        <v>0</v>
      </c>
      <c r="O42" s="185"/>
      <c r="P42" s="9">
        <f t="shared" si="20"/>
        <v>0</v>
      </c>
      <c r="Q42" s="50"/>
      <c r="R42" s="51"/>
      <c r="S42" s="50"/>
      <c r="T42" s="187"/>
      <c r="U42" s="186"/>
    </row>
    <row r="43" spans="1:21" s="19" customFormat="1" ht="16.5" customHeight="1">
      <c r="A43" s="216"/>
      <c r="B43" s="234"/>
      <c r="C43" s="222"/>
      <c r="D43" s="184" t="s">
        <v>76</v>
      </c>
      <c r="E43" s="185">
        <v>23</v>
      </c>
      <c r="F43" s="63">
        <v>23</v>
      </c>
      <c r="G43" s="185">
        <v>4</v>
      </c>
      <c r="H43" s="9">
        <f t="shared" si="16"/>
        <v>0.17391304347826086</v>
      </c>
      <c r="I43" s="185">
        <v>10</v>
      </c>
      <c r="J43" s="9">
        <f t="shared" si="17"/>
        <v>0.43478260869565216</v>
      </c>
      <c r="K43" s="185">
        <v>9</v>
      </c>
      <c r="L43" s="9">
        <f t="shared" si="18"/>
        <v>0.391304347826087</v>
      </c>
      <c r="M43" s="9"/>
      <c r="N43" s="100">
        <f t="shared" si="19"/>
        <v>0</v>
      </c>
      <c r="O43" s="185"/>
      <c r="P43" s="51">
        <f t="shared" si="20"/>
        <v>0</v>
      </c>
      <c r="Q43" s="185"/>
      <c r="R43" s="9"/>
      <c r="S43" s="185"/>
      <c r="T43" s="18"/>
      <c r="U43" s="186"/>
    </row>
    <row r="44" spans="1:21" s="29" customFormat="1" ht="21" customHeight="1" thickBot="1">
      <c r="A44" s="217"/>
      <c r="B44" s="235"/>
      <c r="C44" s="225"/>
      <c r="D44" s="181" t="s">
        <v>77</v>
      </c>
      <c r="E44" s="65">
        <v>23</v>
      </c>
      <c r="F44" s="14">
        <v>23</v>
      </c>
      <c r="G44" s="65">
        <v>4</v>
      </c>
      <c r="H44" s="66">
        <f t="shared" si="16"/>
        <v>0.17391304347826086</v>
      </c>
      <c r="I44" s="65">
        <v>10</v>
      </c>
      <c r="J44" s="66">
        <f t="shared" si="17"/>
        <v>0.43478260869565216</v>
      </c>
      <c r="K44" s="65">
        <v>9</v>
      </c>
      <c r="L44" s="66">
        <f t="shared" si="18"/>
        <v>0.391304347826087</v>
      </c>
      <c r="M44" s="66"/>
      <c r="N44" s="83">
        <f t="shared" si="19"/>
        <v>0</v>
      </c>
      <c r="O44" s="65"/>
      <c r="P44" s="20">
        <f t="shared" si="20"/>
        <v>0</v>
      </c>
      <c r="Q44" s="65"/>
      <c r="R44" s="66"/>
      <c r="S44" s="65"/>
      <c r="T44" s="182"/>
      <c r="U44" s="183"/>
    </row>
    <row r="45" spans="1:21" s="19" customFormat="1" ht="29.25" customHeight="1">
      <c r="A45" s="215" t="s">
        <v>74</v>
      </c>
      <c r="B45" s="233" t="s">
        <v>78</v>
      </c>
      <c r="C45" s="220" t="s">
        <v>60</v>
      </c>
      <c r="D45" s="174" t="s">
        <v>79</v>
      </c>
      <c r="E45" s="55">
        <f>SUM(27+24)</f>
        <v>51</v>
      </c>
      <c r="F45" s="55">
        <f>SUM(27+24)</f>
        <v>51</v>
      </c>
      <c r="G45" s="55">
        <f>SUM(4+2)</f>
        <v>6</v>
      </c>
      <c r="H45" s="57">
        <f t="shared" si="16"/>
        <v>0.11764705882352941</v>
      </c>
      <c r="I45" s="55">
        <f>SUM(9+11)</f>
        <v>20</v>
      </c>
      <c r="J45" s="57">
        <f t="shared" si="17"/>
        <v>0.39215686274509803</v>
      </c>
      <c r="K45" s="55">
        <f>SUM(14+11)</f>
        <v>25</v>
      </c>
      <c r="L45" s="57">
        <f t="shared" si="18"/>
        <v>0.49019607843137253</v>
      </c>
      <c r="M45" s="57"/>
      <c r="N45" s="69">
        <f t="shared" si="19"/>
        <v>0</v>
      </c>
      <c r="O45" s="55">
        <f>SUM(2+2)</f>
        <v>4</v>
      </c>
      <c r="P45" s="57">
        <f t="shared" si="20"/>
        <v>0.0784313725490196</v>
      </c>
      <c r="Q45" s="55"/>
      <c r="R45" s="57"/>
      <c r="S45" s="55"/>
      <c r="T45" s="58"/>
      <c r="U45" s="186"/>
    </row>
    <row r="46" spans="1:21" s="19" customFormat="1" ht="17.25" customHeight="1">
      <c r="A46" s="259"/>
      <c r="B46" s="261"/>
      <c r="C46" s="221"/>
      <c r="D46" s="190" t="s">
        <v>80</v>
      </c>
      <c r="E46" s="185">
        <f>SUM(27+24)</f>
        <v>51</v>
      </c>
      <c r="F46" s="185">
        <f>SUM(27+24)</f>
        <v>51</v>
      </c>
      <c r="G46" s="185">
        <f>SUM(4+2)</f>
        <v>6</v>
      </c>
      <c r="H46" s="9">
        <f t="shared" si="16"/>
        <v>0.11764705882352941</v>
      </c>
      <c r="I46" s="185">
        <f>SUM(9+9)</f>
        <v>18</v>
      </c>
      <c r="J46" s="9">
        <f t="shared" si="17"/>
        <v>0.35294117647058826</v>
      </c>
      <c r="K46" s="185">
        <f>SUM(14+13)</f>
        <v>27</v>
      </c>
      <c r="L46" s="9">
        <f t="shared" si="18"/>
        <v>0.5294117647058824</v>
      </c>
      <c r="M46" s="9"/>
      <c r="N46" s="100">
        <f t="shared" si="19"/>
        <v>0</v>
      </c>
      <c r="O46" s="185">
        <f>SUM(2+2)</f>
        <v>4</v>
      </c>
      <c r="P46" s="51">
        <f t="shared" si="20"/>
        <v>0.0784313725490196</v>
      </c>
      <c r="Q46" s="185"/>
      <c r="R46" s="9"/>
      <c r="S46" s="185"/>
      <c r="T46" s="18"/>
      <c r="U46" s="186"/>
    </row>
    <row r="47" spans="1:21" s="19" customFormat="1" ht="25.5" customHeight="1">
      <c r="A47" s="259"/>
      <c r="B47" s="261"/>
      <c r="C47" s="222" t="s">
        <v>66</v>
      </c>
      <c r="D47" s="184" t="s">
        <v>79</v>
      </c>
      <c r="E47" s="50">
        <f>SUM(31+29)</f>
        <v>60</v>
      </c>
      <c r="F47" s="50">
        <f>SUM(31+29)</f>
        <v>60</v>
      </c>
      <c r="G47" s="50">
        <f>SUM(1+3)</f>
        <v>4</v>
      </c>
      <c r="H47" s="51">
        <f t="shared" si="16"/>
        <v>0.06666666666666667</v>
      </c>
      <c r="I47" s="50">
        <f>SUM(15+17)</f>
        <v>32</v>
      </c>
      <c r="J47" s="51">
        <f t="shared" si="17"/>
        <v>0.5333333333333333</v>
      </c>
      <c r="K47" s="50">
        <f>SUM(15+9)</f>
        <v>24</v>
      </c>
      <c r="L47" s="51">
        <f t="shared" si="18"/>
        <v>0.4</v>
      </c>
      <c r="M47" s="51"/>
      <c r="N47" s="100">
        <f t="shared" si="19"/>
        <v>0</v>
      </c>
      <c r="O47" s="59">
        <f>SUM(1+3)</f>
        <v>4</v>
      </c>
      <c r="P47" s="51">
        <f t="shared" si="20"/>
        <v>0.06666666666666667</v>
      </c>
      <c r="Q47" s="50"/>
      <c r="R47" s="51"/>
      <c r="S47" s="50"/>
      <c r="T47" s="187"/>
      <c r="U47" s="186"/>
    </row>
    <row r="48" spans="1:21" s="19" customFormat="1" ht="19.5" customHeight="1" thickBot="1">
      <c r="A48" s="260"/>
      <c r="B48" s="262"/>
      <c r="C48" s="223"/>
      <c r="D48" s="175" t="s">
        <v>80</v>
      </c>
      <c r="E48" s="67">
        <f>SUM(31+29)</f>
        <v>60</v>
      </c>
      <c r="F48" s="67">
        <f>SUM(31+29)</f>
        <v>60</v>
      </c>
      <c r="G48" s="67">
        <f>SUM(1+3)</f>
        <v>4</v>
      </c>
      <c r="H48" s="68">
        <f t="shared" si="16"/>
        <v>0.06666666666666667</v>
      </c>
      <c r="I48" s="67">
        <f>SUM(14+17)</f>
        <v>31</v>
      </c>
      <c r="J48" s="68">
        <f t="shared" si="17"/>
        <v>0.5166666666666667</v>
      </c>
      <c r="K48" s="67">
        <f>SUM(16+9)</f>
        <v>25</v>
      </c>
      <c r="L48" s="68">
        <f t="shared" si="18"/>
        <v>0.4166666666666667</v>
      </c>
      <c r="M48" s="68"/>
      <c r="N48" s="83">
        <f t="shared" si="19"/>
        <v>0</v>
      </c>
      <c r="O48" s="67">
        <f>SUM(1+3)</f>
        <v>4</v>
      </c>
      <c r="P48" s="20">
        <f t="shared" si="20"/>
        <v>0.06666666666666667</v>
      </c>
      <c r="Q48" s="67"/>
      <c r="R48" s="68"/>
      <c r="S48" s="67"/>
      <c r="T48" s="98"/>
      <c r="U48" s="186"/>
    </row>
    <row r="49" spans="1:21" s="19" customFormat="1" ht="29.25" customHeight="1">
      <c r="A49" s="215" t="s">
        <v>74</v>
      </c>
      <c r="B49" s="233" t="s">
        <v>81</v>
      </c>
      <c r="C49" s="220" t="s">
        <v>60</v>
      </c>
      <c r="D49" s="174" t="s">
        <v>82</v>
      </c>
      <c r="E49" s="55">
        <f>SUM(25+26)</f>
        <v>51</v>
      </c>
      <c r="F49" s="55">
        <f>SUM(25+26)</f>
        <v>51</v>
      </c>
      <c r="G49" s="55">
        <f>SUM(3+8)</f>
        <v>11</v>
      </c>
      <c r="H49" s="57">
        <f t="shared" si="16"/>
        <v>0.21568627450980393</v>
      </c>
      <c r="I49" s="55">
        <f>SUM(5+6)</f>
        <v>11</v>
      </c>
      <c r="J49" s="57">
        <f t="shared" si="17"/>
        <v>0.21568627450980393</v>
      </c>
      <c r="K49" s="55">
        <f>SUM(12+17)</f>
        <v>29</v>
      </c>
      <c r="L49" s="57">
        <f t="shared" si="18"/>
        <v>0.5686274509803921</v>
      </c>
      <c r="M49" s="57"/>
      <c r="N49" s="69">
        <f t="shared" si="19"/>
        <v>0</v>
      </c>
      <c r="O49" s="55">
        <f>SUM(1+2)</f>
        <v>3</v>
      </c>
      <c r="P49" s="57">
        <f t="shared" si="20"/>
        <v>0.058823529411764705</v>
      </c>
      <c r="Q49" s="55"/>
      <c r="R49" s="57"/>
      <c r="S49" s="55"/>
      <c r="T49" s="58"/>
      <c r="U49" s="186"/>
    </row>
    <row r="50" spans="1:21" s="19" customFormat="1" ht="29.25" customHeight="1" thickBot="1">
      <c r="A50" s="216"/>
      <c r="B50" s="234"/>
      <c r="C50" s="223"/>
      <c r="D50" s="175" t="s">
        <v>83</v>
      </c>
      <c r="E50" s="67">
        <f>SUM(25+26)</f>
        <v>51</v>
      </c>
      <c r="F50" s="67">
        <f>SUM(25+26)</f>
        <v>51</v>
      </c>
      <c r="G50" s="67">
        <f>SUM(2+7)</f>
        <v>9</v>
      </c>
      <c r="H50" s="68">
        <f t="shared" si="16"/>
        <v>0.17647058823529413</v>
      </c>
      <c r="I50" s="67">
        <f>SUM(7+9)</f>
        <v>16</v>
      </c>
      <c r="J50" s="68">
        <f t="shared" si="17"/>
        <v>0.3137254901960784</v>
      </c>
      <c r="K50" s="67">
        <f>SUM(16+10)</f>
        <v>26</v>
      </c>
      <c r="L50" s="68">
        <f t="shared" si="18"/>
        <v>0.5098039215686274</v>
      </c>
      <c r="M50" s="68"/>
      <c r="N50" s="188">
        <f t="shared" si="19"/>
        <v>0</v>
      </c>
      <c r="O50" s="67">
        <f>SUM(1+2)</f>
        <v>3</v>
      </c>
      <c r="P50" s="20">
        <f t="shared" si="20"/>
        <v>0.058823529411764705</v>
      </c>
      <c r="Q50" s="67"/>
      <c r="R50" s="68"/>
      <c r="S50" s="67"/>
      <c r="T50" s="98"/>
      <c r="U50" s="186"/>
    </row>
    <row r="51" spans="1:21" s="19" customFormat="1" ht="29.25" customHeight="1" thickBot="1">
      <c r="A51" s="216"/>
      <c r="B51" s="234"/>
      <c r="C51" s="220" t="s">
        <v>14</v>
      </c>
      <c r="D51" s="174" t="s">
        <v>82</v>
      </c>
      <c r="E51" s="55">
        <f>SUM(20+22)</f>
        <v>42</v>
      </c>
      <c r="F51" s="56">
        <f>SUM(20+22)</f>
        <v>42</v>
      </c>
      <c r="G51" s="55">
        <f>SUM(0+3)</f>
        <v>3</v>
      </c>
      <c r="H51" s="57">
        <f>G51/F51</f>
        <v>0.07142857142857142</v>
      </c>
      <c r="I51" s="55">
        <f>SUM(4+9)</f>
        <v>13</v>
      </c>
      <c r="J51" s="57">
        <f>I51/F51</f>
        <v>0.30952380952380953</v>
      </c>
      <c r="K51" s="55">
        <f>SUM(16+10)</f>
        <v>26</v>
      </c>
      <c r="L51" s="57">
        <f>K51/F51</f>
        <v>0.6190476190476191</v>
      </c>
      <c r="M51" s="57"/>
      <c r="N51" s="69">
        <f>M51/F51</f>
        <v>0</v>
      </c>
      <c r="O51" s="55">
        <f>SUM(0+1)</f>
        <v>1</v>
      </c>
      <c r="P51" s="57">
        <f>O51/F51</f>
        <v>0.023809523809523808</v>
      </c>
      <c r="Q51" s="55"/>
      <c r="R51" s="57"/>
      <c r="S51" s="55"/>
      <c r="T51" s="58"/>
      <c r="U51" s="186"/>
    </row>
    <row r="52" spans="1:21" s="19" customFormat="1" ht="29.25" customHeight="1" thickBot="1">
      <c r="A52" s="217"/>
      <c r="B52" s="235"/>
      <c r="C52" s="223"/>
      <c r="D52" s="175" t="s">
        <v>83</v>
      </c>
      <c r="E52" s="55">
        <f>SUM(20+22)</f>
        <v>42</v>
      </c>
      <c r="F52" s="56">
        <f>SUM(20+22)</f>
        <v>42</v>
      </c>
      <c r="G52" s="67">
        <f>SUM(2+5)</f>
        <v>7</v>
      </c>
      <c r="H52" s="68">
        <f>G52/F52</f>
        <v>0.16666666666666666</v>
      </c>
      <c r="I52" s="67">
        <f>SUM(11+9)</f>
        <v>20</v>
      </c>
      <c r="J52" s="68">
        <f>I52/F52</f>
        <v>0.47619047619047616</v>
      </c>
      <c r="K52" s="67">
        <f>SUM(7+8)</f>
        <v>15</v>
      </c>
      <c r="L52" s="68">
        <f>K52/F52</f>
        <v>0.35714285714285715</v>
      </c>
      <c r="M52" s="68"/>
      <c r="N52" s="188">
        <f>M52/F52</f>
        <v>0</v>
      </c>
      <c r="O52" s="67">
        <f>SUM(0+1)</f>
        <v>1</v>
      </c>
      <c r="P52" s="20">
        <f>O52/F52</f>
        <v>0.023809523809523808</v>
      </c>
      <c r="Q52" s="67"/>
      <c r="R52" s="68"/>
      <c r="S52" s="67"/>
      <c r="T52" s="98"/>
      <c r="U52" s="186"/>
    </row>
    <row r="53" spans="1:21" s="19" customFormat="1" ht="13.5" customHeight="1" thickBot="1">
      <c r="A53" s="226" t="s">
        <v>42</v>
      </c>
      <c r="B53" s="227"/>
      <c r="C53" s="218" t="s">
        <v>60</v>
      </c>
      <c r="D53" s="219"/>
      <c r="E53" s="62">
        <f>SUM(E39+E45+E49)</f>
        <v>123</v>
      </c>
      <c r="F53" s="62">
        <f>SUM(F39+F45+F49)</f>
        <v>123</v>
      </c>
      <c r="G53" s="62">
        <f>SUM(G39+G45+G49)</f>
        <v>23</v>
      </c>
      <c r="H53" s="33">
        <f t="shared" si="16"/>
        <v>0.18699186991869918</v>
      </c>
      <c r="I53" s="62">
        <f>SUM(I39+I45+I49)</f>
        <v>34</v>
      </c>
      <c r="J53" s="33">
        <f t="shared" si="17"/>
        <v>0.2764227642276423</v>
      </c>
      <c r="K53" s="62">
        <f>SUM(K39+K45+K49)</f>
        <v>66</v>
      </c>
      <c r="L53" s="33">
        <f t="shared" si="18"/>
        <v>0.5365853658536586</v>
      </c>
      <c r="M53" s="33">
        <f>SUM(M39+M45+M49)</f>
        <v>0</v>
      </c>
      <c r="N53" s="33">
        <f>M53/F53</f>
        <v>0</v>
      </c>
      <c r="O53" s="62">
        <f>SUM(O39+O45+O49)</f>
        <v>7</v>
      </c>
      <c r="P53" s="33">
        <f t="shared" si="20"/>
        <v>0.056910569105691054</v>
      </c>
      <c r="Q53" s="62">
        <f>SUM(Q45)</f>
        <v>0</v>
      </c>
      <c r="R53" s="33"/>
      <c r="S53" s="62"/>
      <c r="T53" s="34"/>
      <c r="U53" s="186"/>
    </row>
    <row r="54" spans="1:21" s="19" customFormat="1" ht="13.5" customHeight="1" thickBot="1">
      <c r="A54" s="228"/>
      <c r="B54" s="229"/>
      <c r="C54" s="218" t="s">
        <v>14</v>
      </c>
      <c r="D54" s="219"/>
      <c r="E54" s="62">
        <f>SUM(E42+E47+E51)</f>
        <v>125</v>
      </c>
      <c r="F54" s="62">
        <f>SUM(F42+F47+F51)</f>
        <v>125</v>
      </c>
      <c r="G54" s="62">
        <f>SUM(G42+G47+G51)</f>
        <v>12</v>
      </c>
      <c r="H54" s="33">
        <f t="shared" si="16"/>
        <v>0.096</v>
      </c>
      <c r="I54" s="62">
        <f>SUM(I42+I47+I51)</f>
        <v>54</v>
      </c>
      <c r="J54" s="33">
        <f t="shared" si="17"/>
        <v>0.432</v>
      </c>
      <c r="K54" s="62">
        <f>SUM(K42+K47+K51)</f>
        <v>59</v>
      </c>
      <c r="L54" s="33">
        <f t="shared" si="18"/>
        <v>0.472</v>
      </c>
      <c r="M54" s="33">
        <f>SUM(M42+M47)</f>
        <v>0</v>
      </c>
      <c r="N54" s="33">
        <f>M54/F54</f>
        <v>0</v>
      </c>
      <c r="O54" s="32">
        <f>SUM(O42+O47+O51)</f>
        <v>5</v>
      </c>
      <c r="P54" s="33">
        <f t="shared" si="20"/>
        <v>0.04</v>
      </c>
      <c r="Q54" s="62">
        <f>SUM(Q46)</f>
        <v>0</v>
      </c>
      <c r="R54" s="33"/>
      <c r="S54" s="62"/>
      <c r="T54" s="34"/>
      <c r="U54" s="186"/>
    </row>
    <row r="55" spans="1:21" s="19" customFormat="1" ht="17.25" customHeight="1" thickBot="1">
      <c r="A55" s="230" t="s">
        <v>151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2"/>
      <c r="U55" s="186"/>
    </row>
    <row r="56" spans="1:21" s="19" customFormat="1" ht="15" customHeight="1">
      <c r="A56" s="215" t="s">
        <v>84</v>
      </c>
      <c r="B56" s="233" t="s">
        <v>85</v>
      </c>
      <c r="C56" s="224" t="s">
        <v>60</v>
      </c>
      <c r="D56" s="184" t="s">
        <v>65</v>
      </c>
      <c r="E56" s="55">
        <v>16</v>
      </c>
      <c r="F56" s="56">
        <v>16</v>
      </c>
      <c r="G56" s="55">
        <v>2</v>
      </c>
      <c r="H56" s="57">
        <f aca="true" t="shared" si="21" ref="H56:H66">G56/F56</f>
        <v>0.125</v>
      </c>
      <c r="I56" s="55">
        <v>3</v>
      </c>
      <c r="J56" s="57">
        <f aca="true" t="shared" si="22" ref="J56:J66">I56/F56</f>
        <v>0.1875</v>
      </c>
      <c r="K56" s="55">
        <v>11</v>
      </c>
      <c r="L56" s="57">
        <f aca="true" t="shared" si="23" ref="L56:L66">K56/F56</f>
        <v>0.6875</v>
      </c>
      <c r="M56" s="57"/>
      <c r="N56" s="69">
        <f aca="true" t="shared" si="24" ref="N56:N65">M56/F56</f>
        <v>0</v>
      </c>
      <c r="O56" s="74"/>
      <c r="P56" s="76">
        <f aca="true" t="shared" si="25" ref="P56:P64">O56/F56</f>
        <v>0</v>
      </c>
      <c r="Q56" s="55"/>
      <c r="R56" s="57"/>
      <c r="S56" s="55"/>
      <c r="T56" s="58"/>
      <c r="U56" s="186"/>
    </row>
    <row r="57" spans="1:21" s="19" customFormat="1" ht="15" customHeight="1">
      <c r="A57" s="216"/>
      <c r="B57" s="234"/>
      <c r="C57" s="246"/>
      <c r="D57" s="50" t="s">
        <v>41</v>
      </c>
      <c r="E57" s="185">
        <v>16</v>
      </c>
      <c r="F57" s="63">
        <v>16</v>
      </c>
      <c r="G57" s="185">
        <v>4</v>
      </c>
      <c r="H57" s="9">
        <f t="shared" si="21"/>
        <v>0.25</v>
      </c>
      <c r="I57" s="185">
        <v>6</v>
      </c>
      <c r="J57" s="9">
        <f t="shared" si="22"/>
        <v>0.375</v>
      </c>
      <c r="K57" s="185">
        <v>6</v>
      </c>
      <c r="L57" s="9">
        <f t="shared" si="23"/>
        <v>0.375</v>
      </c>
      <c r="M57" s="9"/>
      <c r="N57" s="100">
        <f t="shared" si="24"/>
        <v>0</v>
      </c>
      <c r="O57" s="50"/>
      <c r="P57" s="51">
        <f t="shared" si="25"/>
        <v>0</v>
      </c>
      <c r="Q57" s="185"/>
      <c r="R57" s="9">
        <f>Q57/F57</f>
        <v>0</v>
      </c>
      <c r="S57" s="185">
        <v>16</v>
      </c>
      <c r="T57" s="18">
        <f>SUM(S57/E57)</f>
        <v>1</v>
      </c>
      <c r="U57" s="186"/>
    </row>
    <row r="58" spans="1:21" s="19" customFormat="1" ht="29.25" customHeight="1">
      <c r="A58" s="216"/>
      <c r="B58" s="234"/>
      <c r="C58" s="246"/>
      <c r="D58" s="190" t="s">
        <v>86</v>
      </c>
      <c r="E58" s="185">
        <f>SUM(24+23+12)</f>
        <v>59</v>
      </c>
      <c r="F58" s="185">
        <f>SUM(24+23+12)</f>
        <v>59</v>
      </c>
      <c r="G58" s="185">
        <f>SUM(4+4+3)</f>
        <v>11</v>
      </c>
      <c r="H58" s="9">
        <f t="shared" si="21"/>
        <v>0.1864406779661017</v>
      </c>
      <c r="I58" s="185">
        <f>SUM(10+9+7)</f>
        <v>26</v>
      </c>
      <c r="J58" s="9">
        <f t="shared" si="22"/>
        <v>0.4406779661016949</v>
      </c>
      <c r="K58" s="185">
        <f>SUM(10+10+2)</f>
        <v>22</v>
      </c>
      <c r="L58" s="9">
        <f t="shared" si="23"/>
        <v>0.3728813559322034</v>
      </c>
      <c r="M58" s="9"/>
      <c r="N58" s="100">
        <f t="shared" si="24"/>
        <v>0</v>
      </c>
      <c r="O58" s="50">
        <f>SUM(2+0+1)</f>
        <v>3</v>
      </c>
      <c r="P58" s="51">
        <f t="shared" si="25"/>
        <v>0.05084745762711865</v>
      </c>
      <c r="Q58" s="185"/>
      <c r="R58" s="9"/>
      <c r="S58" s="185"/>
      <c r="T58" s="18">
        <f>SUM(S58/E58)</f>
        <v>0</v>
      </c>
      <c r="U58" s="186"/>
    </row>
    <row r="59" spans="1:21" s="19" customFormat="1" ht="24.75" customHeight="1">
      <c r="A59" s="216"/>
      <c r="B59" s="234"/>
      <c r="C59" s="247"/>
      <c r="D59" s="190" t="s">
        <v>79</v>
      </c>
      <c r="E59" s="50">
        <f>SUM(24+23+12)</f>
        <v>59</v>
      </c>
      <c r="F59" s="50">
        <f>SUM(24+23+12)</f>
        <v>59</v>
      </c>
      <c r="G59" s="50">
        <f>SUM(3+2+1)</f>
        <v>6</v>
      </c>
      <c r="H59" s="51">
        <f t="shared" si="21"/>
        <v>0.1016949152542373</v>
      </c>
      <c r="I59" s="50">
        <f>SUM(6+6+6)</f>
        <v>18</v>
      </c>
      <c r="J59" s="51">
        <f t="shared" si="22"/>
        <v>0.3050847457627119</v>
      </c>
      <c r="K59" s="50">
        <f>SUM(15+15+5)</f>
        <v>35</v>
      </c>
      <c r="L59" s="51">
        <f t="shared" si="23"/>
        <v>0.5932203389830508</v>
      </c>
      <c r="M59" s="51"/>
      <c r="N59" s="100">
        <f t="shared" si="24"/>
        <v>0</v>
      </c>
      <c r="O59" s="50">
        <f>SUM(2+0+1)</f>
        <v>3</v>
      </c>
      <c r="P59" s="51">
        <f t="shared" si="25"/>
        <v>0.05084745762711865</v>
      </c>
      <c r="Q59" s="50"/>
      <c r="R59" s="51"/>
      <c r="S59" s="50"/>
      <c r="T59" s="18">
        <f>SUM(S59/E59)</f>
        <v>0</v>
      </c>
      <c r="U59" s="186"/>
    </row>
    <row r="60" spans="1:21" s="19" customFormat="1" ht="15" customHeight="1">
      <c r="A60" s="216"/>
      <c r="B60" s="234"/>
      <c r="C60" s="247" t="s">
        <v>66</v>
      </c>
      <c r="D60" s="184" t="s">
        <v>65</v>
      </c>
      <c r="E60" s="50">
        <v>5</v>
      </c>
      <c r="F60" s="59">
        <v>5</v>
      </c>
      <c r="G60" s="50">
        <v>2</v>
      </c>
      <c r="H60" s="51">
        <f t="shared" si="21"/>
        <v>0.4</v>
      </c>
      <c r="I60" s="50">
        <v>3</v>
      </c>
      <c r="J60" s="51">
        <f t="shared" si="22"/>
        <v>0.6</v>
      </c>
      <c r="K60" s="50"/>
      <c r="L60" s="51">
        <f t="shared" si="23"/>
        <v>0</v>
      </c>
      <c r="M60" s="51"/>
      <c r="N60" s="100">
        <f t="shared" si="24"/>
        <v>0</v>
      </c>
      <c r="O60" s="50"/>
      <c r="P60" s="100">
        <f t="shared" si="25"/>
        <v>0</v>
      </c>
      <c r="Q60" s="50"/>
      <c r="R60" s="51"/>
      <c r="S60" s="50"/>
      <c r="T60" s="18">
        <f>SUM(S60/E60)</f>
        <v>0</v>
      </c>
      <c r="U60" s="186"/>
    </row>
    <row r="61" spans="1:21" s="19" customFormat="1" ht="17.25" customHeight="1">
      <c r="A61" s="216"/>
      <c r="B61" s="234"/>
      <c r="C61" s="222"/>
      <c r="D61" s="50" t="s">
        <v>41</v>
      </c>
      <c r="E61" s="185">
        <v>5</v>
      </c>
      <c r="F61" s="63">
        <v>5</v>
      </c>
      <c r="G61" s="185">
        <v>2</v>
      </c>
      <c r="H61" s="9">
        <f t="shared" si="21"/>
        <v>0.4</v>
      </c>
      <c r="I61" s="185">
        <v>2</v>
      </c>
      <c r="J61" s="9">
        <f t="shared" si="22"/>
        <v>0.4</v>
      </c>
      <c r="K61" s="185">
        <v>1</v>
      </c>
      <c r="L61" s="9">
        <f t="shared" si="23"/>
        <v>0.2</v>
      </c>
      <c r="M61" s="9"/>
      <c r="N61" s="100">
        <f t="shared" si="24"/>
        <v>0</v>
      </c>
      <c r="O61" s="50"/>
      <c r="P61" s="100">
        <f t="shared" si="25"/>
        <v>0</v>
      </c>
      <c r="Q61" s="185">
        <v>5</v>
      </c>
      <c r="R61" s="9">
        <f>Q61/F61</f>
        <v>1</v>
      </c>
      <c r="S61" s="185">
        <v>5</v>
      </c>
      <c r="T61" s="18">
        <f>SUM(S61/E61)</f>
        <v>1</v>
      </c>
      <c r="U61" s="186"/>
    </row>
    <row r="62" spans="1:21" s="19" customFormat="1" ht="25.5" customHeight="1">
      <c r="A62" s="216"/>
      <c r="B62" s="234"/>
      <c r="C62" s="222"/>
      <c r="D62" s="190" t="s">
        <v>87</v>
      </c>
      <c r="E62" s="185">
        <v>34</v>
      </c>
      <c r="F62" s="63">
        <v>34</v>
      </c>
      <c r="G62" s="185">
        <v>9</v>
      </c>
      <c r="H62" s="9">
        <f t="shared" si="21"/>
        <v>0.2647058823529412</v>
      </c>
      <c r="I62" s="185">
        <v>13</v>
      </c>
      <c r="J62" s="9">
        <f t="shared" si="22"/>
        <v>0.38235294117647056</v>
      </c>
      <c r="K62" s="185">
        <v>12</v>
      </c>
      <c r="L62" s="9">
        <f t="shared" si="23"/>
        <v>0.35294117647058826</v>
      </c>
      <c r="M62" s="9"/>
      <c r="N62" s="100">
        <f t="shared" si="24"/>
        <v>0</v>
      </c>
      <c r="O62" s="50"/>
      <c r="P62" s="51">
        <f t="shared" si="25"/>
        <v>0</v>
      </c>
      <c r="Q62" s="185"/>
      <c r="R62" s="9"/>
      <c r="S62" s="185"/>
      <c r="T62" s="18"/>
      <c r="U62" s="186"/>
    </row>
    <row r="63" spans="1:21" s="29" customFormat="1" ht="26.25" customHeight="1" thickBot="1">
      <c r="A63" s="217"/>
      <c r="B63" s="235"/>
      <c r="C63" s="225"/>
      <c r="D63" s="194" t="s">
        <v>79</v>
      </c>
      <c r="E63" s="65">
        <v>34</v>
      </c>
      <c r="F63" s="14">
        <v>34</v>
      </c>
      <c r="G63" s="65">
        <v>8</v>
      </c>
      <c r="H63" s="66">
        <f t="shared" si="21"/>
        <v>0.23529411764705882</v>
      </c>
      <c r="I63" s="65">
        <v>13</v>
      </c>
      <c r="J63" s="66">
        <f t="shared" si="22"/>
        <v>0.38235294117647056</v>
      </c>
      <c r="K63" s="65">
        <v>13</v>
      </c>
      <c r="L63" s="66">
        <f t="shared" si="23"/>
        <v>0.38235294117647056</v>
      </c>
      <c r="M63" s="66"/>
      <c r="N63" s="83">
        <f t="shared" si="24"/>
        <v>0</v>
      </c>
      <c r="O63" s="67"/>
      <c r="P63" s="68">
        <f t="shared" si="25"/>
        <v>0</v>
      </c>
      <c r="Q63" s="65"/>
      <c r="R63" s="66"/>
      <c r="S63" s="65"/>
      <c r="T63" s="182"/>
      <c r="U63" s="183"/>
    </row>
    <row r="64" spans="1:256" s="19" customFormat="1" ht="17.25" customHeight="1" thickBot="1">
      <c r="A64" s="179" t="s">
        <v>159</v>
      </c>
      <c r="B64" s="95" t="s">
        <v>160</v>
      </c>
      <c r="C64" s="174" t="s">
        <v>60</v>
      </c>
      <c r="D64" s="64" t="s">
        <v>41</v>
      </c>
      <c r="E64" s="55">
        <v>28</v>
      </c>
      <c r="F64" s="56">
        <v>28</v>
      </c>
      <c r="G64" s="55">
        <v>7</v>
      </c>
      <c r="H64" s="57">
        <f t="shared" si="21"/>
        <v>0.25</v>
      </c>
      <c r="I64" s="55">
        <v>9</v>
      </c>
      <c r="J64" s="57">
        <f t="shared" si="22"/>
        <v>0.32142857142857145</v>
      </c>
      <c r="K64" s="55">
        <v>12</v>
      </c>
      <c r="L64" s="57">
        <f t="shared" si="23"/>
        <v>0.42857142857142855</v>
      </c>
      <c r="M64" s="57"/>
      <c r="N64" s="69">
        <f t="shared" si="24"/>
        <v>0</v>
      </c>
      <c r="O64" s="55">
        <v>1</v>
      </c>
      <c r="P64" s="73">
        <f t="shared" si="25"/>
        <v>0.03571428571428571</v>
      </c>
      <c r="Q64" s="55"/>
      <c r="R64" s="57"/>
      <c r="S64" s="55"/>
      <c r="T64" s="58"/>
      <c r="U64" s="186"/>
      <c r="IV64" s="19">
        <f>SUM(E64:IU64)</f>
        <v>86.03571428571429</v>
      </c>
    </row>
    <row r="65" spans="1:21" s="19" customFormat="1" ht="14.25" customHeight="1" thickBot="1">
      <c r="A65" s="226" t="s">
        <v>42</v>
      </c>
      <c r="B65" s="227"/>
      <c r="C65" s="218" t="s">
        <v>60</v>
      </c>
      <c r="D65" s="219"/>
      <c r="E65" s="62">
        <f>SUM(E57+E58+E64)</f>
        <v>103</v>
      </c>
      <c r="F65" s="62">
        <f>SUM(F57+F58+F64)</f>
        <v>103</v>
      </c>
      <c r="G65" s="62">
        <f>SUM(G57+G58+G64)</f>
        <v>22</v>
      </c>
      <c r="H65" s="33">
        <f t="shared" si="21"/>
        <v>0.21359223300970873</v>
      </c>
      <c r="I65" s="62">
        <f>SUM(I57+I58+I64)</f>
        <v>41</v>
      </c>
      <c r="J65" s="33">
        <f t="shared" si="22"/>
        <v>0.39805825242718446</v>
      </c>
      <c r="K65" s="62">
        <f>SUM(K57+K58+K64)</f>
        <v>40</v>
      </c>
      <c r="L65" s="33">
        <f t="shared" si="23"/>
        <v>0.3883495145631068</v>
      </c>
      <c r="M65" s="33">
        <f>SUM(M57+M58)</f>
        <v>0</v>
      </c>
      <c r="N65" s="33">
        <f t="shared" si="24"/>
        <v>0</v>
      </c>
      <c r="O65" s="62">
        <f>SUM(O57+O58+O64)</f>
        <v>4</v>
      </c>
      <c r="P65" s="33">
        <f>O65/F65</f>
        <v>0.038834951456310676</v>
      </c>
      <c r="Q65" s="62">
        <f>SUM(Q57+Q64)</f>
        <v>0</v>
      </c>
      <c r="R65" s="33">
        <f>Q65/F65</f>
        <v>0</v>
      </c>
      <c r="S65" s="62">
        <f>SUM(S57+S64)</f>
        <v>16</v>
      </c>
      <c r="T65" s="34">
        <f>S65/F65</f>
        <v>0.1553398058252427</v>
      </c>
      <c r="U65" s="186"/>
    </row>
    <row r="66" spans="1:21" s="19" customFormat="1" ht="14.25" customHeight="1" thickBot="1">
      <c r="A66" s="228"/>
      <c r="B66" s="229"/>
      <c r="C66" s="218" t="s">
        <v>14</v>
      </c>
      <c r="D66" s="219"/>
      <c r="E66" s="62">
        <f>SUM(E61+E62)</f>
        <v>39</v>
      </c>
      <c r="F66" s="62">
        <f>SUM(F61+F62)</f>
        <v>39</v>
      </c>
      <c r="G66" s="62">
        <f>SUM(G61+G62)</f>
        <v>11</v>
      </c>
      <c r="H66" s="33">
        <f t="shared" si="21"/>
        <v>0.28205128205128205</v>
      </c>
      <c r="I66" s="62">
        <f>SUM(I61+I62)</f>
        <v>15</v>
      </c>
      <c r="J66" s="33">
        <f t="shared" si="22"/>
        <v>0.38461538461538464</v>
      </c>
      <c r="K66" s="62">
        <f>SUM(K61+K62)</f>
        <v>13</v>
      </c>
      <c r="L66" s="33">
        <f t="shared" si="23"/>
        <v>0.3333333333333333</v>
      </c>
      <c r="M66" s="33">
        <f>SUM(M61+M62)</f>
        <v>0</v>
      </c>
      <c r="N66" s="33">
        <f>M66/F66</f>
        <v>0</v>
      </c>
      <c r="O66" s="62">
        <f>SUM(O61+O62)</f>
        <v>0</v>
      </c>
      <c r="P66" s="33">
        <f>O66/F66</f>
        <v>0</v>
      </c>
      <c r="Q66" s="62">
        <f>SUM(Q61)</f>
        <v>5</v>
      </c>
      <c r="R66" s="33">
        <f>Q66/F66</f>
        <v>0.1282051282051282</v>
      </c>
      <c r="S66" s="62">
        <f>SUM(S61)</f>
        <v>5</v>
      </c>
      <c r="T66" s="34">
        <f>S66/F66</f>
        <v>0.1282051282051282</v>
      </c>
      <c r="U66" s="186"/>
    </row>
    <row r="67" spans="1:21" s="19" customFormat="1" ht="16.5" customHeight="1" thickBot="1">
      <c r="A67" s="230" t="s">
        <v>59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2"/>
      <c r="U67" s="186"/>
    </row>
    <row r="68" spans="1:21" s="19" customFormat="1" ht="17.25" customHeight="1">
      <c r="A68" s="215" t="s">
        <v>88</v>
      </c>
      <c r="B68" s="233" t="s">
        <v>89</v>
      </c>
      <c r="C68" s="174" t="s">
        <v>60</v>
      </c>
      <c r="D68" s="174" t="s">
        <v>65</v>
      </c>
      <c r="E68" s="55">
        <v>8</v>
      </c>
      <c r="F68" s="56">
        <v>8</v>
      </c>
      <c r="G68" s="55">
        <v>1</v>
      </c>
      <c r="H68" s="57">
        <f aca="true" t="shared" si="26" ref="H68:H74">G68/F68</f>
        <v>0.125</v>
      </c>
      <c r="I68" s="55">
        <v>1</v>
      </c>
      <c r="J68" s="57">
        <f aca="true" t="shared" si="27" ref="J68:J74">I68/F68</f>
        <v>0.125</v>
      </c>
      <c r="K68" s="55">
        <v>6</v>
      </c>
      <c r="L68" s="57">
        <f aca="true" t="shared" si="28" ref="L68:L74">K68/F68</f>
        <v>0.75</v>
      </c>
      <c r="M68" s="57"/>
      <c r="N68" s="69">
        <f aca="true" t="shared" si="29" ref="N68:N74">M68/F68</f>
        <v>0</v>
      </c>
      <c r="O68" s="55"/>
      <c r="P68" s="76">
        <f aca="true" t="shared" si="30" ref="P68:P74">O68/F68</f>
        <v>0</v>
      </c>
      <c r="Q68" s="55"/>
      <c r="R68" s="57"/>
      <c r="S68" s="55"/>
      <c r="T68" s="58"/>
      <c r="U68" s="186"/>
    </row>
    <row r="69" spans="1:21" s="19" customFormat="1" ht="17.25" customHeight="1" thickBot="1">
      <c r="A69" s="217"/>
      <c r="B69" s="235"/>
      <c r="C69" s="181" t="s">
        <v>66</v>
      </c>
      <c r="D69" s="175" t="s">
        <v>65</v>
      </c>
      <c r="E69" s="65">
        <v>8</v>
      </c>
      <c r="F69" s="14">
        <v>8</v>
      </c>
      <c r="G69" s="65"/>
      <c r="H69" s="66">
        <f t="shared" si="26"/>
        <v>0</v>
      </c>
      <c r="I69" s="65">
        <v>3</v>
      </c>
      <c r="J69" s="66">
        <f t="shared" si="27"/>
        <v>0.375</v>
      </c>
      <c r="K69" s="65">
        <v>5</v>
      </c>
      <c r="L69" s="66">
        <f t="shared" si="28"/>
        <v>0.625</v>
      </c>
      <c r="M69" s="66"/>
      <c r="N69" s="188">
        <f t="shared" si="29"/>
        <v>0</v>
      </c>
      <c r="O69" s="65"/>
      <c r="P69" s="20">
        <f t="shared" si="30"/>
        <v>0</v>
      </c>
      <c r="Q69" s="65"/>
      <c r="R69" s="66"/>
      <c r="S69" s="65"/>
      <c r="T69" s="182"/>
      <c r="U69" s="186"/>
    </row>
    <row r="70" spans="1:21" s="19" customFormat="1" ht="22.5" customHeight="1" thickBot="1">
      <c r="A70" s="179" t="s">
        <v>90</v>
      </c>
      <c r="B70" s="95" t="s">
        <v>91</v>
      </c>
      <c r="C70" s="174" t="s">
        <v>60</v>
      </c>
      <c r="D70" s="174" t="s">
        <v>65</v>
      </c>
      <c r="E70" s="55">
        <v>7</v>
      </c>
      <c r="F70" s="56">
        <v>7</v>
      </c>
      <c r="G70" s="55">
        <v>2</v>
      </c>
      <c r="H70" s="57">
        <f t="shared" si="26"/>
        <v>0.2857142857142857</v>
      </c>
      <c r="I70" s="55">
        <v>3</v>
      </c>
      <c r="J70" s="57">
        <f t="shared" si="27"/>
        <v>0.42857142857142855</v>
      </c>
      <c r="K70" s="55">
        <v>2</v>
      </c>
      <c r="L70" s="57">
        <f t="shared" si="28"/>
        <v>0.2857142857142857</v>
      </c>
      <c r="M70" s="57"/>
      <c r="N70" s="33">
        <f t="shared" si="29"/>
        <v>0</v>
      </c>
      <c r="O70" s="64"/>
      <c r="P70" s="33">
        <f t="shared" si="30"/>
        <v>0</v>
      </c>
      <c r="Q70" s="64"/>
      <c r="R70" s="22"/>
      <c r="S70" s="64"/>
      <c r="T70" s="101"/>
      <c r="U70" s="186"/>
    </row>
    <row r="71" spans="1:21" s="19" customFormat="1" ht="17.25" customHeight="1">
      <c r="A71" s="215" t="s">
        <v>92</v>
      </c>
      <c r="B71" s="233" t="s">
        <v>93</v>
      </c>
      <c r="C71" s="174" t="s">
        <v>60</v>
      </c>
      <c r="D71" s="174" t="s">
        <v>65</v>
      </c>
      <c r="E71" s="55">
        <v>33</v>
      </c>
      <c r="F71" s="56">
        <v>33</v>
      </c>
      <c r="G71" s="55">
        <v>2</v>
      </c>
      <c r="H71" s="57">
        <f t="shared" si="26"/>
        <v>0.06060606060606061</v>
      </c>
      <c r="I71" s="55">
        <v>11</v>
      </c>
      <c r="J71" s="57">
        <f t="shared" si="27"/>
        <v>0.3333333333333333</v>
      </c>
      <c r="K71" s="55">
        <v>20</v>
      </c>
      <c r="L71" s="57">
        <f t="shared" si="28"/>
        <v>0.6060606060606061</v>
      </c>
      <c r="M71" s="57"/>
      <c r="N71" s="212">
        <f t="shared" si="29"/>
        <v>0</v>
      </c>
      <c r="O71" s="185">
        <v>1</v>
      </c>
      <c r="P71" s="202">
        <f t="shared" si="30"/>
        <v>0.030303030303030304</v>
      </c>
      <c r="Q71" s="185"/>
      <c r="R71" s="9"/>
      <c r="S71" s="185"/>
      <c r="T71" s="18"/>
      <c r="U71" s="186"/>
    </row>
    <row r="72" spans="1:21" s="19" customFormat="1" ht="17.25" customHeight="1" thickBot="1">
      <c r="A72" s="217"/>
      <c r="B72" s="235"/>
      <c r="C72" s="181" t="s">
        <v>66</v>
      </c>
      <c r="D72" s="175" t="s">
        <v>65</v>
      </c>
      <c r="E72" s="65">
        <v>8</v>
      </c>
      <c r="F72" s="14">
        <v>8</v>
      </c>
      <c r="G72" s="65">
        <v>1</v>
      </c>
      <c r="H72" s="66">
        <f t="shared" si="26"/>
        <v>0.125</v>
      </c>
      <c r="I72" s="65">
        <v>5</v>
      </c>
      <c r="J72" s="66">
        <f t="shared" si="27"/>
        <v>0.625</v>
      </c>
      <c r="K72" s="65">
        <v>2</v>
      </c>
      <c r="L72" s="66">
        <f t="shared" si="28"/>
        <v>0.25</v>
      </c>
      <c r="M72" s="66"/>
      <c r="N72" s="188">
        <f t="shared" si="29"/>
        <v>0</v>
      </c>
      <c r="O72" s="65"/>
      <c r="P72" s="83">
        <f t="shared" si="30"/>
        <v>0</v>
      </c>
      <c r="Q72" s="65"/>
      <c r="R72" s="66"/>
      <c r="S72" s="65"/>
      <c r="T72" s="182"/>
      <c r="U72" s="186"/>
    </row>
    <row r="73" spans="1:21" s="19" customFormat="1" ht="12.75" customHeight="1" thickBot="1">
      <c r="A73" s="226" t="s">
        <v>42</v>
      </c>
      <c r="B73" s="227"/>
      <c r="C73" s="218" t="s">
        <v>60</v>
      </c>
      <c r="D73" s="219"/>
      <c r="E73" s="62">
        <f>SUM(E68+E70+E71)</f>
        <v>48</v>
      </c>
      <c r="F73" s="62">
        <f>SUM(F68+F70+F71)</f>
        <v>48</v>
      </c>
      <c r="G73" s="62">
        <f>SUM(G68+G70+G71)</f>
        <v>5</v>
      </c>
      <c r="H73" s="33">
        <f t="shared" si="26"/>
        <v>0.10416666666666667</v>
      </c>
      <c r="I73" s="62">
        <f>SUM(I68+I70+I71)</f>
        <v>15</v>
      </c>
      <c r="J73" s="33">
        <f t="shared" si="27"/>
        <v>0.3125</v>
      </c>
      <c r="K73" s="62">
        <f>SUM(K68+K70+K71)</f>
        <v>28</v>
      </c>
      <c r="L73" s="33">
        <f t="shared" si="28"/>
        <v>0.5833333333333334</v>
      </c>
      <c r="M73" s="33">
        <f>SUM(M68+M70+M71)</f>
        <v>0</v>
      </c>
      <c r="N73" s="33">
        <f t="shared" si="29"/>
        <v>0</v>
      </c>
      <c r="O73" s="62">
        <f>SUM(O68+O70+O71)</f>
        <v>1</v>
      </c>
      <c r="P73" s="33">
        <f t="shared" si="30"/>
        <v>0.020833333333333332</v>
      </c>
      <c r="Q73" s="62">
        <f>SUM(Q68)</f>
        <v>0</v>
      </c>
      <c r="R73" s="33"/>
      <c r="S73" s="62"/>
      <c r="T73" s="34"/>
      <c r="U73" s="186"/>
    </row>
    <row r="74" spans="1:21" s="19" customFormat="1" ht="12.75" customHeight="1" thickBot="1">
      <c r="A74" s="228"/>
      <c r="B74" s="229"/>
      <c r="C74" s="218" t="s">
        <v>14</v>
      </c>
      <c r="D74" s="219"/>
      <c r="E74" s="62">
        <f>SUM(E69+E72)</f>
        <v>16</v>
      </c>
      <c r="F74" s="62">
        <f>SUM(F69+F72)</f>
        <v>16</v>
      </c>
      <c r="G74" s="62">
        <f>SUM(G69+G72)</f>
        <v>1</v>
      </c>
      <c r="H74" s="33">
        <f t="shared" si="26"/>
        <v>0.0625</v>
      </c>
      <c r="I74" s="62">
        <f>SUM(I69+I72)</f>
        <v>8</v>
      </c>
      <c r="J74" s="33">
        <f t="shared" si="27"/>
        <v>0.5</v>
      </c>
      <c r="K74" s="62">
        <f>SUM(K69+K72)</f>
        <v>7</v>
      </c>
      <c r="L74" s="33">
        <f t="shared" si="28"/>
        <v>0.4375</v>
      </c>
      <c r="M74" s="33"/>
      <c r="N74" s="33">
        <f t="shared" si="29"/>
        <v>0</v>
      </c>
      <c r="O74" s="62">
        <f>SUM(O69+O72)</f>
        <v>0</v>
      </c>
      <c r="P74" s="33">
        <f t="shared" si="30"/>
        <v>0</v>
      </c>
      <c r="Q74" s="62">
        <f>SUM(Q69)</f>
        <v>0</v>
      </c>
      <c r="R74" s="33"/>
      <c r="S74" s="62"/>
      <c r="T74" s="34"/>
      <c r="U74" s="186"/>
    </row>
    <row r="75" spans="1:21" s="19" customFormat="1" ht="20.25" customHeight="1" thickBot="1">
      <c r="A75" s="230" t="s">
        <v>94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2"/>
      <c r="U75" s="186"/>
    </row>
    <row r="76" spans="1:21" s="19" customFormat="1" ht="17.25" customHeight="1">
      <c r="A76" s="215" t="s">
        <v>95</v>
      </c>
      <c r="B76" s="233" t="s">
        <v>96</v>
      </c>
      <c r="C76" s="174" t="s">
        <v>60</v>
      </c>
      <c r="D76" s="55" t="s">
        <v>41</v>
      </c>
      <c r="E76" s="55">
        <v>24</v>
      </c>
      <c r="F76" s="56">
        <v>24</v>
      </c>
      <c r="G76" s="55">
        <v>14</v>
      </c>
      <c r="H76" s="76">
        <f aca="true" t="shared" si="31" ref="H76:H89">G76/F76</f>
        <v>0.5833333333333334</v>
      </c>
      <c r="I76" s="74">
        <v>8</v>
      </c>
      <c r="J76" s="76">
        <f aca="true" t="shared" si="32" ref="J76:J89">I76/F76</f>
        <v>0.3333333333333333</v>
      </c>
      <c r="K76" s="74">
        <v>2</v>
      </c>
      <c r="L76" s="76">
        <f aca="true" t="shared" si="33" ref="L76:L89">K76/F76</f>
        <v>0.08333333333333333</v>
      </c>
      <c r="M76" s="76"/>
      <c r="N76" s="76">
        <f>M76/F76</f>
        <v>0</v>
      </c>
      <c r="O76" s="78">
        <v>1</v>
      </c>
      <c r="P76" s="76">
        <f>O76/F76</f>
        <v>0.041666666666666664</v>
      </c>
      <c r="Q76" s="74"/>
      <c r="R76" s="76">
        <f aca="true" t="shared" si="34" ref="R76:R89">Q76/F76</f>
        <v>0</v>
      </c>
      <c r="S76" s="74"/>
      <c r="T76" s="94"/>
      <c r="U76" s="186"/>
    </row>
    <row r="77" spans="1:21" s="19" customFormat="1" ht="17.25" customHeight="1">
      <c r="A77" s="216"/>
      <c r="B77" s="234"/>
      <c r="C77" s="190" t="s">
        <v>66</v>
      </c>
      <c r="D77" s="50" t="s">
        <v>41</v>
      </c>
      <c r="E77" s="195">
        <v>20</v>
      </c>
      <c r="F77" s="196">
        <v>20</v>
      </c>
      <c r="G77" s="195">
        <v>10</v>
      </c>
      <c r="H77" s="51">
        <f t="shared" si="31"/>
        <v>0.5</v>
      </c>
      <c r="I77" s="50">
        <v>2</v>
      </c>
      <c r="J77" s="51">
        <f t="shared" si="32"/>
        <v>0.1</v>
      </c>
      <c r="K77" s="50">
        <v>8</v>
      </c>
      <c r="L77" s="51">
        <f t="shared" si="33"/>
        <v>0.4</v>
      </c>
      <c r="M77" s="51"/>
      <c r="N77" s="51">
        <f aca="true" t="shared" si="35" ref="N77:N89">M77/F77</f>
        <v>0</v>
      </c>
      <c r="O77" s="50"/>
      <c r="P77" s="51">
        <f aca="true" t="shared" si="36" ref="P77:P89">O77/F77</f>
        <v>0</v>
      </c>
      <c r="Q77" s="50"/>
      <c r="R77" s="51">
        <f t="shared" si="34"/>
        <v>0</v>
      </c>
      <c r="S77" s="50"/>
      <c r="T77" s="187"/>
      <c r="U77" s="186"/>
    </row>
    <row r="78" spans="1:21" s="19" customFormat="1" ht="52.5" customHeight="1" thickBot="1">
      <c r="A78" s="217"/>
      <c r="B78" s="235"/>
      <c r="C78" s="175" t="s">
        <v>124</v>
      </c>
      <c r="D78" s="67" t="s">
        <v>41</v>
      </c>
      <c r="E78" s="65">
        <v>13</v>
      </c>
      <c r="F78" s="14">
        <v>13</v>
      </c>
      <c r="G78" s="65">
        <v>1</v>
      </c>
      <c r="H78" s="9">
        <f t="shared" si="31"/>
        <v>0.07692307692307693</v>
      </c>
      <c r="I78" s="67">
        <v>9</v>
      </c>
      <c r="J78" s="9">
        <f t="shared" si="32"/>
        <v>0.6923076923076923</v>
      </c>
      <c r="K78" s="67">
        <v>3</v>
      </c>
      <c r="L78" s="9">
        <f t="shared" si="33"/>
        <v>0.23076923076923078</v>
      </c>
      <c r="M78" s="41"/>
      <c r="N78" s="41">
        <f t="shared" si="35"/>
        <v>0</v>
      </c>
      <c r="O78" s="67"/>
      <c r="P78" s="41">
        <f t="shared" si="36"/>
        <v>0</v>
      </c>
      <c r="Q78" s="67"/>
      <c r="R78" s="9">
        <f t="shared" si="34"/>
        <v>0</v>
      </c>
      <c r="S78" s="67"/>
      <c r="T78" s="18"/>
      <c r="U78" s="186"/>
    </row>
    <row r="79" spans="1:21" s="19" customFormat="1" ht="25.5" customHeight="1" thickBot="1">
      <c r="A79" s="179" t="s">
        <v>97</v>
      </c>
      <c r="B79" s="95" t="s">
        <v>98</v>
      </c>
      <c r="C79" s="174" t="s">
        <v>60</v>
      </c>
      <c r="D79" s="65" t="s">
        <v>41</v>
      </c>
      <c r="E79" s="55">
        <v>19</v>
      </c>
      <c r="F79" s="56">
        <v>19</v>
      </c>
      <c r="G79" s="55">
        <v>15</v>
      </c>
      <c r="H79" s="57">
        <f t="shared" si="31"/>
        <v>0.7894736842105263</v>
      </c>
      <c r="I79" s="55">
        <v>3</v>
      </c>
      <c r="J79" s="57">
        <f t="shared" si="32"/>
        <v>0.15789473684210525</v>
      </c>
      <c r="K79" s="55">
        <v>1</v>
      </c>
      <c r="L79" s="57">
        <f t="shared" si="33"/>
        <v>0.05263157894736842</v>
      </c>
      <c r="M79" s="57"/>
      <c r="N79" s="76">
        <f t="shared" si="35"/>
        <v>0</v>
      </c>
      <c r="O79" s="55"/>
      <c r="P79" s="76">
        <f t="shared" si="36"/>
        <v>0</v>
      </c>
      <c r="Q79" s="55"/>
      <c r="R79" s="57">
        <f t="shared" si="34"/>
        <v>0</v>
      </c>
      <c r="S79" s="55"/>
      <c r="T79" s="58"/>
      <c r="U79" s="186"/>
    </row>
    <row r="80" spans="1:21" s="19" customFormat="1" ht="14.25" customHeight="1" thickBot="1">
      <c r="A80" s="179" t="s">
        <v>99</v>
      </c>
      <c r="B80" s="95" t="s">
        <v>100</v>
      </c>
      <c r="C80" s="174" t="s">
        <v>60</v>
      </c>
      <c r="D80" s="64" t="s">
        <v>41</v>
      </c>
      <c r="E80" s="55">
        <f>SUM(9+12)</f>
        <v>21</v>
      </c>
      <c r="F80" s="55">
        <f>SUM(9+12)</f>
        <v>21</v>
      </c>
      <c r="G80" s="55">
        <v>5</v>
      </c>
      <c r="H80" s="57">
        <f t="shared" si="31"/>
        <v>0.23809523809523808</v>
      </c>
      <c r="I80" s="55">
        <v>1</v>
      </c>
      <c r="J80" s="57">
        <f t="shared" si="32"/>
        <v>0.047619047619047616</v>
      </c>
      <c r="K80" s="55">
        <v>15</v>
      </c>
      <c r="L80" s="57">
        <f t="shared" si="33"/>
        <v>0.7142857142857143</v>
      </c>
      <c r="M80" s="57"/>
      <c r="N80" s="76">
        <f t="shared" si="35"/>
        <v>0</v>
      </c>
      <c r="O80" s="55">
        <v>1</v>
      </c>
      <c r="P80" s="76">
        <f t="shared" si="36"/>
        <v>0.047619047619047616</v>
      </c>
      <c r="Q80" s="55"/>
      <c r="R80" s="57">
        <f t="shared" si="34"/>
        <v>0</v>
      </c>
      <c r="S80" s="55"/>
      <c r="T80" s="58"/>
      <c r="U80" s="186"/>
    </row>
    <row r="81" spans="1:21" s="19" customFormat="1" ht="17.25" customHeight="1">
      <c r="A81" s="215" t="s">
        <v>101</v>
      </c>
      <c r="B81" s="236" t="s">
        <v>102</v>
      </c>
      <c r="C81" s="189" t="s">
        <v>60</v>
      </c>
      <c r="D81" s="74" t="s">
        <v>41</v>
      </c>
      <c r="E81" s="74">
        <v>60</v>
      </c>
      <c r="F81" s="78">
        <v>60</v>
      </c>
      <c r="G81" s="74">
        <v>18</v>
      </c>
      <c r="H81" s="76">
        <f t="shared" si="31"/>
        <v>0.3</v>
      </c>
      <c r="I81" s="74">
        <v>22</v>
      </c>
      <c r="J81" s="76">
        <f t="shared" si="32"/>
        <v>0.36666666666666664</v>
      </c>
      <c r="K81" s="74">
        <v>20</v>
      </c>
      <c r="L81" s="76">
        <f t="shared" si="33"/>
        <v>0.3333333333333333</v>
      </c>
      <c r="M81" s="76"/>
      <c r="N81" s="76">
        <f t="shared" si="35"/>
        <v>0</v>
      </c>
      <c r="O81" s="74">
        <v>2</v>
      </c>
      <c r="P81" s="76">
        <f t="shared" si="36"/>
        <v>0.03333333333333333</v>
      </c>
      <c r="Q81" s="74"/>
      <c r="R81" s="76">
        <f t="shared" si="34"/>
        <v>0</v>
      </c>
      <c r="S81" s="74"/>
      <c r="T81" s="94"/>
      <c r="U81" s="186"/>
    </row>
    <row r="82" spans="1:21" s="19" customFormat="1" ht="51" customHeight="1" thickBot="1">
      <c r="A82" s="217"/>
      <c r="B82" s="237"/>
      <c r="C82" s="181" t="s">
        <v>124</v>
      </c>
      <c r="D82" s="65" t="s">
        <v>41</v>
      </c>
      <c r="E82" s="65">
        <v>9</v>
      </c>
      <c r="F82" s="14">
        <v>9</v>
      </c>
      <c r="G82" s="65">
        <v>2</v>
      </c>
      <c r="H82" s="66">
        <f t="shared" si="31"/>
        <v>0.2222222222222222</v>
      </c>
      <c r="I82" s="65">
        <v>2</v>
      </c>
      <c r="J82" s="66">
        <f t="shared" si="32"/>
        <v>0.2222222222222222</v>
      </c>
      <c r="K82" s="65">
        <v>5</v>
      </c>
      <c r="L82" s="66">
        <f t="shared" si="33"/>
        <v>0.5555555555555556</v>
      </c>
      <c r="M82" s="66"/>
      <c r="N82" s="66">
        <f t="shared" si="35"/>
        <v>0</v>
      </c>
      <c r="O82" s="65">
        <v>2</v>
      </c>
      <c r="P82" s="66">
        <f t="shared" si="36"/>
        <v>0.2222222222222222</v>
      </c>
      <c r="Q82" s="65"/>
      <c r="R82" s="66">
        <f t="shared" si="34"/>
        <v>0</v>
      </c>
      <c r="S82" s="65"/>
      <c r="T82" s="182"/>
      <c r="U82" s="186"/>
    </row>
    <row r="83" spans="1:21" s="19" customFormat="1" ht="25.5" customHeight="1" thickBot="1">
      <c r="A83" s="179" t="s">
        <v>88</v>
      </c>
      <c r="B83" s="95" t="s">
        <v>89</v>
      </c>
      <c r="C83" s="174" t="s">
        <v>60</v>
      </c>
      <c r="D83" s="174" t="s">
        <v>65</v>
      </c>
      <c r="E83" s="55">
        <v>21</v>
      </c>
      <c r="F83" s="56">
        <v>21</v>
      </c>
      <c r="G83" s="55">
        <v>4</v>
      </c>
      <c r="H83" s="57">
        <f>G83/F83</f>
        <v>0.19047619047619047</v>
      </c>
      <c r="I83" s="55">
        <v>9</v>
      </c>
      <c r="J83" s="57">
        <f>I83/F83</f>
        <v>0.42857142857142855</v>
      </c>
      <c r="K83" s="55">
        <v>8</v>
      </c>
      <c r="L83" s="57">
        <f>K83/F83</f>
        <v>0.38095238095238093</v>
      </c>
      <c r="M83" s="57"/>
      <c r="N83" s="76">
        <f>M83/F83</f>
        <v>0</v>
      </c>
      <c r="O83" s="55"/>
      <c r="P83" s="76">
        <f>O83/F83</f>
        <v>0</v>
      </c>
      <c r="Q83" s="55"/>
      <c r="R83" s="57">
        <f>Q83/F83</f>
        <v>0</v>
      </c>
      <c r="S83" s="55"/>
      <c r="T83" s="58"/>
      <c r="U83" s="186"/>
    </row>
    <row r="84" spans="1:21" s="19" customFormat="1" ht="16.5" customHeight="1">
      <c r="A84" s="215" t="s">
        <v>103</v>
      </c>
      <c r="B84" s="233" t="s">
        <v>104</v>
      </c>
      <c r="C84" s="174" t="s">
        <v>60</v>
      </c>
      <c r="D84" s="74" t="s">
        <v>41</v>
      </c>
      <c r="E84" s="55">
        <v>17</v>
      </c>
      <c r="F84" s="56">
        <v>17</v>
      </c>
      <c r="G84" s="55">
        <v>10</v>
      </c>
      <c r="H84" s="76">
        <f t="shared" si="31"/>
        <v>0.5882352941176471</v>
      </c>
      <c r="I84" s="74">
        <v>2</v>
      </c>
      <c r="J84" s="76">
        <f t="shared" si="32"/>
        <v>0.11764705882352941</v>
      </c>
      <c r="K84" s="74">
        <v>5</v>
      </c>
      <c r="L84" s="76">
        <f t="shared" si="33"/>
        <v>0.29411764705882354</v>
      </c>
      <c r="M84" s="76"/>
      <c r="N84" s="76">
        <f t="shared" si="35"/>
        <v>0</v>
      </c>
      <c r="O84" s="74"/>
      <c r="P84" s="76">
        <f t="shared" si="36"/>
        <v>0</v>
      </c>
      <c r="Q84" s="74">
        <v>9</v>
      </c>
      <c r="R84" s="76">
        <f t="shared" si="34"/>
        <v>0.5294117647058824</v>
      </c>
      <c r="S84" s="74"/>
      <c r="T84" s="94"/>
      <c r="U84" s="186"/>
    </row>
    <row r="85" spans="1:21" s="19" customFormat="1" ht="16.5" customHeight="1">
      <c r="A85" s="216"/>
      <c r="B85" s="234"/>
      <c r="C85" s="190" t="s">
        <v>66</v>
      </c>
      <c r="D85" s="50" t="s">
        <v>41</v>
      </c>
      <c r="E85" s="195">
        <v>15</v>
      </c>
      <c r="F85" s="196">
        <v>15</v>
      </c>
      <c r="G85" s="195">
        <v>4</v>
      </c>
      <c r="H85" s="51">
        <f t="shared" si="31"/>
        <v>0.26666666666666666</v>
      </c>
      <c r="I85" s="50">
        <v>4</v>
      </c>
      <c r="J85" s="51">
        <f t="shared" si="32"/>
        <v>0.26666666666666666</v>
      </c>
      <c r="K85" s="50">
        <v>7</v>
      </c>
      <c r="L85" s="51">
        <f t="shared" si="33"/>
        <v>0.4666666666666667</v>
      </c>
      <c r="M85" s="51"/>
      <c r="N85" s="51">
        <f t="shared" si="35"/>
        <v>0</v>
      </c>
      <c r="O85" s="50"/>
      <c r="P85" s="51">
        <f t="shared" si="36"/>
        <v>0</v>
      </c>
      <c r="Q85" s="50">
        <v>2</v>
      </c>
      <c r="R85" s="51">
        <f t="shared" si="34"/>
        <v>0.13333333333333333</v>
      </c>
      <c r="S85" s="50"/>
      <c r="T85" s="187"/>
      <c r="U85" s="186"/>
    </row>
    <row r="86" spans="1:21" s="19" customFormat="1" ht="54" customHeight="1" thickBot="1">
      <c r="A86" s="217"/>
      <c r="B86" s="235"/>
      <c r="C86" s="175" t="s">
        <v>124</v>
      </c>
      <c r="D86" s="67" t="s">
        <v>41</v>
      </c>
      <c r="E86" s="65">
        <v>3</v>
      </c>
      <c r="F86" s="14">
        <v>3</v>
      </c>
      <c r="G86" s="65"/>
      <c r="H86" s="9">
        <f t="shared" si="31"/>
        <v>0</v>
      </c>
      <c r="I86" s="67"/>
      <c r="J86" s="9">
        <f t="shared" si="32"/>
        <v>0</v>
      </c>
      <c r="K86" s="67">
        <v>3</v>
      </c>
      <c r="L86" s="9">
        <f t="shared" si="33"/>
        <v>1</v>
      </c>
      <c r="M86" s="41"/>
      <c r="N86" s="41">
        <f t="shared" si="35"/>
        <v>0</v>
      </c>
      <c r="O86" s="67"/>
      <c r="P86" s="41">
        <f t="shared" si="36"/>
        <v>0</v>
      </c>
      <c r="Q86" s="67"/>
      <c r="R86" s="9">
        <f t="shared" si="34"/>
        <v>0</v>
      </c>
      <c r="S86" s="67"/>
      <c r="T86" s="18"/>
      <c r="U86" s="186"/>
    </row>
    <row r="87" spans="1:21" s="19" customFormat="1" ht="15" customHeight="1" thickBot="1">
      <c r="A87" s="226" t="s">
        <v>42</v>
      </c>
      <c r="B87" s="227"/>
      <c r="C87" s="218" t="s">
        <v>60</v>
      </c>
      <c r="D87" s="219"/>
      <c r="E87" s="62">
        <f>SUM(E76+E79+E80+E81+E83+E84)</f>
        <v>162</v>
      </c>
      <c r="F87" s="62">
        <f>SUM(F76+F79+F80+F81+F83+F84)</f>
        <v>162</v>
      </c>
      <c r="G87" s="62">
        <f>SUM(G76+G79+G80+G81+G83+G84)</f>
        <v>66</v>
      </c>
      <c r="H87" s="73">
        <f t="shared" si="31"/>
        <v>0.4074074074074074</v>
      </c>
      <c r="I87" s="62">
        <f>SUM(I76+I79+I80+I81+I83+I84)</f>
        <v>45</v>
      </c>
      <c r="J87" s="73">
        <f t="shared" si="32"/>
        <v>0.2777777777777778</v>
      </c>
      <c r="K87" s="62">
        <f>SUM(K76+K79+K80+K81+K83+K84)</f>
        <v>51</v>
      </c>
      <c r="L87" s="73">
        <f t="shared" si="33"/>
        <v>0.3148148148148148</v>
      </c>
      <c r="M87" s="73">
        <f>SUM(M76+M79+M80+M81+M84)</f>
        <v>0</v>
      </c>
      <c r="N87" s="69">
        <f t="shared" si="35"/>
        <v>0</v>
      </c>
      <c r="O87" s="32">
        <f>SUM(O76+O79+O80+O81+O83+O84)</f>
        <v>4</v>
      </c>
      <c r="P87" s="69">
        <f t="shared" si="36"/>
        <v>0.024691358024691357</v>
      </c>
      <c r="Q87" s="62">
        <f>SUM(Q76+Q79+Q80+Q81+Q84)</f>
        <v>9</v>
      </c>
      <c r="R87" s="73">
        <f t="shared" si="34"/>
        <v>0.05555555555555555</v>
      </c>
      <c r="S87" s="62">
        <f>SUM(S76+S79+S80+S81+S84)</f>
        <v>0</v>
      </c>
      <c r="T87" s="200"/>
      <c r="U87" s="186"/>
    </row>
    <row r="88" spans="1:21" s="19" customFormat="1" ht="15" customHeight="1" thickBot="1">
      <c r="A88" s="255"/>
      <c r="B88" s="256"/>
      <c r="C88" s="218" t="s">
        <v>14</v>
      </c>
      <c r="D88" s="219"/>
      <c r="E88" s="62">
        <f>SUM(E77+E85)</f>
        <v>35</v>
      </c>
      <c r="F88" s="62">
        <f>SUM(F77+F85)</f>
        <v>35</v>
      </c>
      <c r="G88" s="62">
        <f>SUM(G77+G85)</f>
        <v>14</v>
      </c>
      <c r="H88" s="73">
        <f t="shared" si="31"/>
        <v>0.4</v>
      </c>
      <c r="I88" s="62">
        <f>SUM(I77+I85)</f>
        <v>6</v>
      </c>
      <c r="J88" s="73">
        <f t="shared" si="32"/>
        <v>0.17142857142857143</v>
      </c>
      <c r="K88" s="62">
        <f>SUM(K77+K85)</f>
        <v>15</v>
      </c>
      <c r="L88" s="73">
        <f t="shared" si="33"/>
        <v>0.42857142857142855</v>
      </c>
      <c r="M88" s="69">
        <f>SUM(M77+M85)</f>
        <v>0</v>
      </c>
      <c r="N88" s="69">
        <f t="shared" si="35"/>
        <v>0</v>
      </c>
      <c r="O88" s="62">
        <f>SUM(O77+O85)</f>
        <v>0</v>
      </c>
      <c r="P88" s="69">
        <f t="shared" si="36"/>
        <v>0</v>
      </c>
      <c r="Q88" s="62">
        <f>SUM(Q77+Q85)</f>
        <v>2</v>
      </c>
      <c r="R88" s="73">
        <f t="shared" si="34"/>
        <v>0.05714285714285714</v>
      </c>
      <c r="S88" s="62">
        <f>SUM(S77+S85)</f>
        <v>0</v>
      </c>
      <c r="T88" s="200"/>
      <c r="U88" s="186"/>
    </row>
    <row r="89" spans="1:21" s="19" customFormat="1" ht="15" customHeight="1" thickBot="1">
      <c r="A89" s="228"/>
      <c r="B89" s="229"/>
      <c r="C89" s="218" t="s">
        <v>124</v>
      </c>
      <c r="D89" s="219"/>
      <c r="E89" s="62">
        <f>SUM(E78+E82+E86)</f>
        <v>25</v>
      </c>
      <c r="F89" s="62">
        <f>SUM(F78+F82+F86)</f>
        <v>25</v>
      </c>
      <c r="G89" s="62">
        <f>SUM(G78+G82+G86)</f>
        <v>3</v>
      </c>
      <c r="H89" s="33">
        <f t="shared" si="31"/>
        <v>0.12</v>
      </c>
      <c r="I89" s="62">
        <f>SUM(I78+I82+I86)</f>
        <v>11</v>
      </c>
      <c r="J89" s="33">
        <f t="shared" si="32"/>
        <v>0.44</v>
      </c>
      <c r="K89" s="62">
        <f>SUM(K78+K82+K86)</f>
        <v>11</v>
      </c>
      <c r="L89" s="33">
        <f t="shared" si="33"/>
        <v>0.44</v>
      </c>
      <c r="M89" s="33">
        <f>SUM(M78+M82+M86)</f>
        <v>0</v>
      </c>
      <c r="N89" s="33">
        <f t="shared" si="35"/>
        <v>0</v>
      </c>
      <c r="O89" s="62">
        <f>SUM(O78+O82+O86)</f>
        <v>2</v>
      </c>
      <c r="P89" s="33">
        <f t="shared" si="36"/>
        <v>0.08</v>
      </c>
      <c r="Q89" s="62">
        <f>SUM(Q78+Q82+Q86)</f>
        <v>0</v>
      </c>
      <c r="R89" s="33">
        <f t="shared" si="34"/>
        <v>0</v>
      </c>
      <c r="S89" s="62">
        <f>SUM(S78+S82+S86)</f>
        <v>0</v>
      </c>
      <c r="T89" s="34">
        <f>S89/F89</f>
        <v>0</v>
      </c>
      <c r="U89" s="186"/>
    </row>
    <row r="90" spans="1:21" s="29" customFormat="1" ht="18" customHeight="1" thickBot="1">
      <c r="A90" s="230" t="s">
        <v>105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2"/>
      <c r="U90" s="183"/>
    </row>
    <row r="91" spans="1:21" s="19" customFormat="1" ht="16.5" customHeight="1">
      <c r="A91" s="215" t="s">
        <v>106</v>
      </c>
      <c r="B91" s="233" t="s">
        <v>107</v>
      </c>
      <c r="C91" s="224" t="s">
        <v>60</v>
      </c>
      <c r="D91" s="174" t="s">
        <v>67</v>
      </c>
      <c r="E91" s="55">
        <v>43</v>
      </c>
      <c r="F91" s="56">
        <v>43</v>
      </c>
      <c r="G91" s="55">
        <v>10</v>
      </c>
      <c r="H91" s="57">
        <f aca="true" t="shared" si="37" ref="H91:H104">G91/F91</f>
        <v>0.23255813953488372</v>
      </c>
      <c r="I91" s="55">
        <v>19</v>
      </c>
      <c r="J91" s="57">
        <f aca="true" t="shared" si="38" ref="J91:J104">I91/F91</f>
        <v>0.4418604651162791</v>
      </c>
      <c r="K91" s="55">
        <v>14</v>
      </c>
      <c r="L91" s="57">
        <f aca="true" t="shared" si="39" ref="L91:L104">K91/F91</f>
        <v>0.32558139534883723</v>
      </c>
      <c r="M91" s="57"/>
      <c r="N91" s="69">
        <f aca="true" t="shared" si="40" ref="N91:N102">M91/F91</f>
        <v>0</v>
      </c>
      <c r="O91" s="74"/>
      <c r="P91" s="76">
        <f aca="true" t="shared" si="41" ref="P91:P102">O91/F91</f>
        <v>0</v>
      </c>
      <c r="Q91" s="55"/>
      <c r="R91" s="57"/>
      <c r="S91" s="55"/>
      <c r="T91" s="58"/>
      <c r="U91" s="186"/>
    </row>
    <row r="92" spans="1:21" s="19" customFormat="1" ht="16.5" customHeight="1" thickBot="1">
      <c r="A92" s="217"/>
      <c r="B92" s="235"/>
      <c r="C92" s="225"/>
      <c r="D92" s="181" t="s">
        <v>65</v>
      </c>
      <c r="E92" s="65">
        <v>43</v>
      </c>
      <c r="F92" s="14">
        <v>43</v>
      </c>
      <c r="G92" s="65">
        <v>5</v>
      </c>
      <c r="H92" s="66">
        <f t="shared" si="37"/>
        <v>0.11627906976744186</v>
      </c>
      <c r="I92" s="65">
        <v>22</v>
      </c>
      <c r="J92" s="66">
        <f t="shared" si="38"/>
        <v>0.5116279069767442</v>
      </c>
      <c r="K92" s="65">
        <v>16</v>
      </c>
      <c r="L92" s="66">
        <f t="shared" si="39"/>
        <v>0.37209302325581395</v>
      </c>
      <c r="M92" s="66"/>
      <c r="N92" s="188">
        <f t="shared" si="40"/>
        <v>0</v>
      </c>
      <c r="O92" s="65"/>
      <c r="P92" s="66">
        <f t="shared" si="41"/>
        <v>0</v>
      </c>
      <c r="Q92" s="65"/>
      <c r="R92" s="66"/>
      <c r="S92" s="65"/>
      <c r="T92" s="182"/>
      <c r="U92" s="186"/>
    </row>
    <row r="93" spans="1:21" s="19" customFormat="1" ht="16.5" customHeight="1">
      <c r="A93" s="215" t="s">
        <v>108</v>
      </c>
      <c r="B93" s="233" t="s">
        <v>109</v>
      </c>
      <c r="C93" s="224" t="s">
        <v>60</v>
      </c>
      <c r="D93" s="174" t="s">
        <v>67</v>
      </c>
      <c r="E93" s="55">
        <f>SUM(10+30)</f>
        <v>40</v>
      </c>
      <c r="F93" s="55">
        <f>SUM(10+30)</f>
        <v>40</v>
      </c>
      <c r="G93" s="55">
        <f>SUM(1+4)</f>
        <v>5</v>
      </c>
      <c r="H93" s="57">
        <f t="shared" si="37"/>
        <v>0.125</v>
      </c>
      <c r="I93" s="55">
        <f>SUM(5+14)</f>
        <v>19</v>
      </c>
      <c r="J93" s="57">
        <f t="shared" si="38"/>
        <v>0.475</v>
      </c>
      <c r="K93" s="55">
        <f>SUM(4+12)</f>
        <v>16</v>
      </c>
      <c r="L93" s="57">
        <f t="shared" si="39"/>
        <v>0.4</v>
      </c>
      <c r="M93" s="57"/>
      <c r="N93" s="69">
        <f t="shared" si="40"/>
        <v>0</v>
      </c>
      <c r="O93" s="74"/>
      <c r="P93" s="69">
        <f t="shared" si="41"/>
        <v>0</v>
      </c>
      <c r="Q93" s="55"/>
      <c r="R93" s="57"/>
      <c r="S93" s="55"/>
      <c r="T93" s="58"/>
      <c r="U93" s="186"/>
    </row>
    <row r="94" spans="1:21" s="19" customFormat="1" ht="16.5" customHeight="1">
      <c r="A94" s="216"/>
      <c r="B94" s="234"/>
      <c r="C94" s="247"/>
      <c r="D94" s="190" t="s">
        <v>65</v>
      </c>
      <c r="E94" s="50">
        <f>SUM(10+30)</f>
        <v>40</v>
      </c>
      <c r="F94" s="50">
        <f>SUM(10+30)</f>
        <v>40</v>
      </c>
      <c r="G94" s="50">
        <f>SUM(4+7)</f>
        <v>11</v>
      </c>
      <c r="H94" s="51">
        <f t="shared" si="37"/>
        <v>0.275</v>
      </c>
      <c r="I94" s="50">
        <f>SUM(2+14)</f>
        <v>16</v>
      </c>
      <c r="J94" s="51">
        <f t="shared" si="38"/>
        <v>0.4</v>
      </c>
      <c r="K94" s="50">
        <f>SUM(4+9)</f>
        <v>13</v>
      </c>
      <c r="L94" s="51">
        <f t="shared" si="39"/>
        <v>0.325</v>
      </c>
      <c r="M94" s="51"/>
      <c r="N94" s="210">
        <f t="shared" si="40"/>
        <v>0</v>
      </c>
      <c r="O94" s="201"/>
      <c r="P94" s="210">
        <f t="shared" si="41"/>
        <v>0</v>
      </c>
      <c r="Q94" s="50"/>
      <c r="R94" s="51"/>
      <c r="S94" s="50"/>
      <c r="T94" s="187"/>
      <c r="U94" s="186"/>
    </row>
    <row r="95" spans="1:21" s="19" customFormat="1" ht="16.5" customHeight="1">
      <c r="A95" s="216"/>
      <c r="B95" s="234"/>
      <c r="C95" s="247" t="s">
        <v>66</v>
      </c>
      <c r="D95" s="190" t="s">
        <v>67</v>
      </c>
      <c r="E95" s="50">
        <f>SUM(8)</f>
        <v>8</v>
      </c>
      <c r="F95" s="59">
        <f>SUM(8)</f>
        <v>8</v>
      </c>
      <c r="G95" s="50"/>
      <c r="H95" s="51">
        <f t="shared" si="37"/>
        <v>0</v>
      </c>
      <c r="I95" s="50">
        <f>SUM(1)</f>
        <v>1</v>
      </c>
      <c r="J95" s="51">
        <f t="shared" si="38"/>
        <v>0.125</v>
      </c>
      <c r="K95" s="50">
        <f>SUM(7)</f>
        <v>7</v>
      </c>
      <c r="L95" s="51">
        <f t="shared" si="39"/>
        <v>0.875</v>
      </c>
      <c r="M95" s="51"/>
      <c r="N95" s="100">
        <f t="shared" si="40"/>
        <v>0</v>
      </c>
      <c r="O95" s="50"/>
      <c r="P95" s="100">
        <f t="shared" si="41"/>
        <v>0</v>
      </c>
      <c r="Q95" s="50"/>
      <c r="R95" s="51"/>
      <c r="S95" s="50"/>
      <c r="T95" s="187"/>
      <c r="U95" s="186"/>
    </row>
    <row r="96" spans="1:21" s="19" customFormat="1" ht="16.5" customHeight="1" thickBot="1">
      <c r="A96" s="217"/>
      <c r="B96" s="235"/>
      <c r="C96" s="225"/>
      <c r="D96" s="181" t="s">
        <v>65</v>
      </c>
      <c r="E96" s="65">
        <v>8</v>
      </c>
      <c r="F96" s="14">
        <v>8</v>
      </c>
      <c r="G96" s="65"/>
      <c r="H96" s="66">
        <f t="shared" si="37"/>
        <v>0</v>
      </c>
      <c r="I96" s="65">
        <v>5</v>
      </c>
      <c r="J96" s="66">
        <f t="shared" si="38"/>
        <v>0.625</v>
      </c>
      <c r="K96" s="65">
        <v>3</v>
      </c>
      <c r="L96" s="66">
        <f t="shared" si="39"/>
        <v>0.375</v>
      </c>
      <c r="M96" s="66"/>
      <c r="N96" s="83">
        <f t="shared" si="40"/>
        <v>0</v>
      </c>
      <c r="O96" s="67"/>
      <c r="P96" s="83">
        <f t="shared" si="41"/>
        <v>0</v>
      </c>
      <c r="Q96" s="65"/>
      <c r="R96" s="66"/>
      <c r="S96" s="65"/>
      <c r="T96" s="182"/>
      <c r="U96" s="186"/>
    </row>
    <row r="97" spans="1:21" s="19" customFormat="1" ht="16.5" customHeight="1">
      <c r="A97" s="215" t="s">
        <v>110</v>
      </c>
      <c r="B97" s="233" t="s">
        <v>111</v>
      </c>
      <c r="C97" s="224" t="s">
        <v>60</v>
      </c>
      <c r="D97" s="189" t="s">
        <v>65</v>
      </c>
      <c r="E97" s="55">
        <v>8</v>
      </c>
      <c r="F97" s="56">
        <v>8</v>
      </c>
      <c r="G97" s="55">
        <v>3</v>
      </c>
      <c r="H97" s="57">
        <f t="shared" si="37"/>
        <v>0.375</v>
      </c>
      <c r="I97" s="55">
        <v>3</v>
      </c>
      <c r="J97" s="57">
        <f t="shared" si="38"/>
        <v>0.375</v>
      </c>
      <c r="K97" s="55">
        <v>2</v>
      </c>
      <c r="L97" s="57">
        <f t="shared" si="39"/>
        <v>0.25</v>
      </c>
      <c r="M97" s="57"/>
      <c r="N97" s="69">
        <f t="shared" si="40"/>
        <v>0</v>
      </c>
      <c r="O97" s="74"/>
      <c r="P97" s="69">
        <f t="shared" si="41"/>
        <v>0</v>
      </c>
      <c r="Q97" s="55"/>
      <c r="R97" s="57"/>
      <c r="S97" s="55"/>
      <c r="T97" s="58"/>
      <c r="U97" s="186"/>
    </row>
    <row r="98" spans="1:21" s="19" customFormat="1" ht="16.5" customHeight="1" thickBot="1">
      <c r="A98" s="217"/>
      <c r="B98" s="235"/>
      <c r="C98" s="247"/>
      <c r="D98" s="201" t="s">
        <v>41</v>
      </c>
      <c r="E98" s="50">
        <v>8</v>
      </c>
      <c r="F98" s="59">
        <v>8</v>
      </c>
      <c r="G98" s="50">
        <v>2</v>
      </c>
      <c r="H98" s="51">
        <f t="shared" si="37"/>
        <v>0.25</v>
      </c>
      <c r="I98" s="50">
        <v>6</v>
      </c>
      <c r="J98" s="51">
        <f t="shared" si="38"/>
        <v>0.75</v>
      </c>
      <c r="K98" s="50"/>
      <c r="L98" s="51">
        <f t="shared" si="39"/>
        <v>0</v>
      </c>
      <c r="M98" s="51"/>
      <c r="N98" s="188">
        <f t="shared" si="40"/>
        <v>0</v>
      </c>
      <c r="O98" s="65"/>
      <c r="P98" s="188">
        <f t="shared" si="41"/>
        <v>0</v>
      </c>
      <c r="Q98" s="50"/>
      <c r="R98" s="51">
        <f>Q98/F98</f>
        <v>0</v>
      </c>
      <c r="S98" s="50"/>
      <c r="T98" s="187"/>
      <c r="U98" s="186"/>
    </row>
    <row r="99" spans="1:21" s="19" customFormat="1" ht="16.5" customHeight="1">
      <c r="A99" s="179" t="s">
        <v>112</v>
      </c>
      <c r="B99" s="95" t="s">
        <v>113</v>
      </c>
      <c r="C99" s="224" t="s">
        <v>60</v>
      </c>
      <c r="D99" s="189" t="s">
        <v>65</v>
      </c>
      <c r="E99" s="55">
        <v>13</v>
      </c>
      <c r="F99" s="56">
        <v>13</v>
      </c>
      <c r="G99" s="55">
        <v>3</v>
      </c>
      <c r="H99" s="57">
        <f t="shared" si="37"/>
        <v>0.23076923076923078</v>
      </c>
      <c r="I99" s="55">
        <v>10</v>
      </c>
      <c r="J99" s="57">
        <f t="shared" si="38"/>
        <v>0.7692307692307693</v>
      </c>
      <c r="K99" s="55"/>
      <c r="L99" s="57">
        <f t="shared" si="39"/>
        <v>0</v>
      </c>
      <c r="M99" s="57"/>
      <c r="N99" s="69">
        <f t="shared" si="40"/>
        <v>0</v>
      </c>
      <c r="O99" s="74"/>
      <c r="P99" s="69">
        <f t="shared" si="41"/>
        <v>0</v>
      </c>
      <c r="Q99" s="55"/>
      <c r="R99" s="57"/>
      <c r="S99" s="55"/>
      <c r="T99" s="58"/>
      <c r="U99" s="186"/>
    </row>
    <row r="100" spans="1:21" s="19" customFormat="1" ht="16.5" customHeight="1" thickBot="1">
      <c r="A100" s="199"/>
      <c r="B100" s="165"/>
      <c r="C100" s="247"/>
      <c r="D100" s="201" t="s">
        <v>41</v>
      </c>
      <c r="E100" s="50">
        <v>13</v>
      </c>
      <c r="F100" s="59">
        <v>13</v>
      </c>
      <c r="G100" s="50">
        <v>4</v>
      </c>
      <c r="H100" s="51">
        <f t="shared" si="37"/>
        <v>0.3076923076923077</v>
      </c>
      <c r="I100" s="50">
        <v>9</v>
      </c>
      <c r="J100" s="51">
        <f t="shared" si="38"/>
        <v>0.6923076923076923</v>
      </c>
      <c r="K100" s="50"/>
      <c r="L100" s="51">
        <f t="shared" si="39"/>
        <v>0</v>
      </c>
      <c r="M100" s="51"/>
      <c r="N100" s="100">
        <f t="shared" si="40"/>
        <v>0</v>
      </c>
      <c r="O100" s="50"/>
      <c r="P100" s="100">
        <f t="shared" si="41"/>
        <v>0</v>
      </c>
      <c r="Q100" s="50"/>
      <c r="R100" s="51">
        <f>Q100/F100</f>
        <v>0</v>
      </c>
      <c r="S100" s="50"/>
      <c r="T100" s="187"/>
      <c r="U100" s="186"/>
    </row>
    <row r="101" spans="1:21" s="19" customFormat="1" ht="16.5" customHeight="1">
      <c r="A101" s="215" t="s">
        <v>114</v>
      </c>
      <c r="B101" s="233" t="s">
        <v>115</v>
      </c>
      <c r="C101" s="174" t="s">
        <v>60</v>
      </c>
      <c r="D101" s="174" t="s">
        <v>65</v>
      </c>
      <c r="E101" s="55">
        <v>33</v>
      </c>
      <c r="F101" s="56">
        <v>33</v>
      </c>
      <c r="G101" s="55">
        <v>4</v>
      </c>
      <c r="H101" s="57">
        <f t="shared" si="37"/>
        <v>0.12121212121212122</v>
      </c>
      <c r="I101" s="55">
        <v>13</v>
      </c>
      <c r="J101" s="57">
        <f t="shared" si="38"/>
        <v>0.3939393939393939</v>
      </c>
      <c r="K101" s="55">
        <v>16</v>
      </c>
      <c r="L101" s="57">
        <f t="shared" si="39"/>
        <v>0.48484848484848486</v>
      </c>
      <c r="M101" s="57"/>
      <c r="N101" s="69">
        <f t="shared" si="40"/>
        <v>0</v>
      </c>
      <c r="O101" s="74">
        <v>1</v>
      </c>
      <c r="P101" s="76">
        <f t="shared" si="41"/>
        <v>0.030303030303030304</v>
      </c>
      <c r="Q101" s="55"/>
      <c r="R101" s="57"/>
      <c r="S101" s="55"/>
      <c r="T101" s="58"/>
      <c r="U101" s="186"/>
    </row>
    <row r="102" spans="1:21" s="19" customFormat="1" ht="16.5" customHeight="1" thickBot="1">
      <c r="A102" s="217"/>
      <c r="B102" s="235"/>
      <c r="C102" s="181" t="s">
        <v>66</v>
      </c>
      <c r="D102" s="175" t="s">
        <v>65</v>
      </c>
      <c r="E102" s="65">
        <v>17</v>
      </c>
      <c r="F102" s="14">
        <v>17</v>
      </c>
      <c r="G102" s="65"/>
      <c r="H102" s="66">
        <f t="shared" si="37"/>
        <v>0</v>
      </c>
      <c r="I102" s="65">
        <v>7</v>
      </c>
      <c r="J102" s="66">
        <f t="shared" si="38"/>
        <v>0.4117647058823529</v>
      </c>
      <c r="K102" s="65">
        <v>10</v>
      </c>
      <c r="L102" s="66">
        <f t="shared" si="39"/>
        <v>0.5882352941176471</v>
      </c>
      <c r="M102" s="66"/>
      <c r="N102" s="188">
        <f t="shared" si="40"/>
        <v>0</v>
      </c>
      <c r="O102" s="65"/>
      <c r="P102" s="188">
        <f t="shared" si="41"/>
        <v>0</v>
      </c>
      <c r="Q102" s="65"/>
      <c r="R102" s="66"/>
      <c r="S102" s="65"/>
      <c r="T102" s="182"/>
      <c r="U102" s="186"/>
    </row>
    <row r="103" spans="1:21" s="19" customFormat="1" ht="16.5" customHeight="1" thickBot="1">
      <c r="A103" s="226" t="s">
        <v>42</v>
      </c>
      <c r="B103" s="227"/>
      <c r="C103" s="218" t="s">
        <v>60</v>
      </c>
      <c r="D103" s="219"/>
      <c r="E103" s="62">
        <f>SUM(E92+E94+E98+E100+E101)</f>
        <v>137</v>
      </c>
      <c r="F103" s="62">
        <f>SUM(F92+F94+F98+F100+F101)</f>
        <v>137</v>
      </c>
      <c r="G103" s="62">
        <f>SUM(G92+G94+G98+G100+G101)</f>
        <v>26</v>
      </c>
      <c r="H103" s="33">
        <f t="shared" si="37"/>
        <v>0.1897810218978102</v>
      </c>
      <c r="I103" s="62">
        <f>SUM(I92+I94+I98+I100+I101)</f>
        <v>66</v>
      </c>
      <c r="J103" s="33">
        <f t="shared" si="38"/>
        <v>0.48175182481751827</v>
      </c>
      <c r="K103" s="62">
        <f>SUM(K92+K94+K98+K100+K101)</f>
        <v>45</v>
      </c>
      <c r="L103" s="33">
        <f t="shared" si="39"/>
        <v>0.3284671532846715</v>
      </c>
      <c r="M103" s="33">
        <f>SUM(M91+M94+M98+M100+M101)</f>
        <v>0</v>
      </c>
      <c r="N103" s="33">
        <f>M103/F103</f>
        <v>0</v>
      </c>
      <c r="O103" s="62">
        <f>SUM(O92+O94+O98+O100+O101)</f>
        <v>1</v>
      </c>
      <c r="P103" s="33">
        <f>O103/F103</f>
        <v>0.0072992700729927005</v>
      </c>
      <c r="Q103" s="62">
        <f>SUM(Q98+Q100)</f>
        <v>0</v>
      </c>
      <c r="R103" s="33">
        <f>Q103/F103</f>
        <v>0</v>
      </c>
      <c r="S103" s="62">
        <f>SUM(S98+S100)</f>
        <v>0</v>
      </c>
      <c r="T103" s="34">
        <f>S103/F103</f>
        <v>0</v>
      </c>
      <c r="U103" s="186"/>
    </row>
    <row r="104" spans="1:21" s="19" customFormat="1" ht="16.5" customHeight="1" thickBot="1">
      <c r="A104" s="228"/>
      <c r="B104" s="229"/>
      <c r="C104" s="218" t="s">
        <v>14</v>
      </c>
      <c r="D104" s="219"/>
      <c r="E104" s="62">
        <f>SUM(E96+E102)</f>
        <v>25</v>
      </c>
      <c r="F104" s="62">
        <f>SUM(F96+F102)</f>
        <v>25</v>
      </c>
      <c r="G104" s="62">
        <f>SUM(G96+G102)</f>
        <v>0</v>
      </c>
      <c r="H104" s="33">
        <f t="shared" si="37"/>
        <v>0</v>
      </c>
      <c r="I104" s="62">
        <f>SUM(I96+I102)</f>
        <v>12</v>
      </c>
      <c r="J104" s="33">
        <f t="shared" si="38"/>
        <v>0.48</v>
      </c>
      <c r="K104" s="62">
        <f>SUM(K96+K102)</f>
        <v>13</v>
      </c>
      <c r="L104" s="33">
        <f t="shared" si="39"/>
        <v>0.52</v>
      </c>
      <c r="M104" s="33">
        <f>SUM(M96+M102)</f>
        <v>0</v>
      </c>
      <c r="N104" s="33">
        <f>M104/F104</f>
        <v>0</v>
      </c>
      <c r="O104" s="62">
        <f>SUM(O96+O102)</f>
        <v>0</v>
      </c>
      <c r="P104" s="33">
        <f>O104/F104</f>
        <v>0</v>
      </c>
      <c r="Q104" s="62">
        <f>SUM(Q96+Q102)</f>
        <v>0</v>
      </c>
      <c r="R104" s="33">
        <f>Q104/F104</f>
        <v>0</v>
      </c>
      <c r="S104" s="62">
        <f>SUM(S96+S102)</f>
        <v>0</v>
      </c>
      <c r="T104" s="34">
        <f>S104/F104</f>
        <v>0</v>
      </c>
      <c r="U104" s="186"/>
    </row>
    <row r="105" spans="1:21" s="193" customFormat="1" ht="19.5" customHeight="1" thickBot="1">
      <c r="A105" s="230" t="s">
        <v>55</v>
      </c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2"/>
      <c r="U105" s="192"/>
    </row>
    <row r="106" spans="1:21" s="193" customFormat="1" ht="18.75" customHeight="1">
      <c r="A106" s="226" t="s">
        <v>18</v>
      </c>
      <c r="B106" s="233" t="s">
        <v>19</v>
      </c>
      <c r="C106" s="189" t="s">
        <v>60</v>
      </c>
      <c r="D106" s="74" t="s">
        <v>58</v>
      </c>
      <c r="E106" s="74">
        <v>14</v>
      </c>
      <c r="F106" s="78">
        <v>14</v>
      </c>
      <c r="G106" s="74">
        <v>6</v>
      </c>
      <c r="H106" s="76">
        <f>G106/F106</f>
        <v>0.42857142857142855</v>
      </c>
      <c r="I106" s="74">
        <v>4</v>
      </c>
      <c r="J106" s="76">
        <f aca="true" t="shared" si="42" ref="J106:J120">I106/F106</f>
        <v>0.2857142857142857</v>
      </c>
      <c r="K106" s="74">
        <v>4</v>
      </c>
      <c r="L106" s="76">
        <f aca="true" t="shared" si="43" ref="L106:L121">K106/F106</f>
        <v>0.2857142857142857</v>
      </c>
      <c r="M106" s="76"/>
      <c r="N106" s="76">
        <f aca="true" t="shared" si="44" ref="N106:N121">M106/F106</f>
        <v>0</v>
      </c>
      <c r="O106" s="74"/>
      <c r="P106" s="76">
        <f>O106/F106</f>
        <v>0</v>
      </c>
      <c r="Q106" s="74"/>
      <c r="R106" s="76"/>
      <c r="S106" s="74"/>
      <c r="T106" s="80">
        <f aca="true" t="shared" si="45" ref="T106:T117">S106/F106</f>
        <v>0</v>
      </c>
      <c r="U106" s="192"/>
    </row>
    <row r="107" spans="1:21" s="193" customFormat="1" ht="18.75" customHeight="1">
      <c r="A107" s="255"/>
      <c r="B107" s="234"/>
      <c r="C107" s="190" t="s">
        <v>14</v>
      </c>
      <c r="D107" s="50" t="s">
        <v>58</v>
      </c>
      <c r="E107" s="50">
        <v>2</v>
      </c>
      <c r="F107" s="59">
        <v>2</v>
      </c>
      <c r="G107" s="50"/>
      <c r="H107" s="51">
        <f>G107/F107</f>
        <v>0</v>
      </c>
      <c r="I107" s="50"/>
      <c r="J107" s="51">
        <f>I107/F107</f>
        <v>0</v>
      </c>
      <c r="K107" s="50">
        <v>2</v>
      </c>
      <c r="L107" s="51">
        <f>K107/F107</f>
        <v>1</v>
      </c>
      <c r="M107" s="51"/>
      <c r="N107" s="51">
        <f>M107/F107</f>
        <v>0</v>
      </c>
      <c r="O107" s="50"/>
      <c r="P107" s="51">
        <f>O107/F107</f>
        <v>0</v>
      </c>
      <c r="Q107" s="50"/>
      <c r="R107" s="51"/>
      <c r="S107" s="50"/>
      <c r="T107" s="172">
        <f>S107/F107</f>
        <v>0</v>
      </c>
      <c r="U107" s="192"/>
    </row>
    <row r="108" spans="1:21" s="193" customFormat="1" ht="54.75" customHeight="1" thickBot="1">
      <c r="A108" s="228"/>
      <c r="B108" s="235"/>
      <c r="C108" s="175" t="s">
        <v>124</v>
      </c>
      <c r="D108" s="67" t="s">
        <v>58</v>
      </c>
      <c r="E108" s="67">
        <v>14</v>
      </c>
      <c r="F108" s="42">
        <v>14</v>
      </c>
      <c r="G108" s="67">
        <v>2</v>
      </c>
      <c r="H108" s="41">
        <f aca="true" t="shared" si="46" ref="H108:H121">G108/F108</f>
        <v>0.14285714285714285</v>
      </c>
      <c r="I108" s="67">
        <v>5</v>
      </c>
      <c r="J108" s="41">
        <f t="shared" si="42"/>
        <v>0.35714285714285715</v>
      </c>
      <c r="K108" s="67">
        <v>7</v>
      </c>
      <c r="L108" s="41">
        <f t="shared" si="43"/>
        <v>0.5</v>
      </c>
      <c r="M108" s="63"/>
      <c r="N108" s="41">
        <f t="shared" si="44"/>
        <v>0</v>
      </c>
      <c r="O108" s="67"/>
      <c r="P108" s="41">
        <f>O108/F108</f>
        <v>0</v>
      </c>
      <c r="Q108" s="67"/>
      <c r="R108" s="68"/>
      <c r="S108" s="67"/>
      <c r="T108" s="84">
        <f t="shared" si="45"/>
        <v>0</v>
      </c>
      <c r="U108" s="192"/>
    </row>
    <row r="109" spans="1:21" ht="25.5" customHeight="1" thickBot="1">
      <c r="A109" s="61" t="s">
        <v>20</v>
      </c>
      <c r="B109" s="180" t="s">
        <v>153</v>
      </c>
      <c r="C109" s="70" t="s">
        <v>60</v>
      </c>
      <c r="D109" s="74" t="s">
        <v>41</v>
      </c>
      <c r="E109" s="74">
        <v>9</v>
      </c>
      <c r="F109" s="78">
        <v>9</v>
      </c>
      <c r="G109" s="74">
        <v>2</v>
      </c>
      <c r="H109" s="76">
        <f t="shared" si="46"/>
        <v>0.2222222222222222</v>
      </c>
      <c r="I109" s="74">
        <v>2</v>
      </c>
      <c r="J109" s="76">
        <f t="shared" si="42"/>
        <v>0.2222222222222222</v>
      </c>
      <c r="K109" s="74">
        <v>5</v>
      </c>
      <c r="L109" s="76">
        <f t="shared" si="43"/>
        <v>0.5555555555555556</v>
      </c>
      <c r="M109" s="76"/>
      <c r="N109" s="76">
        <f t="shared" si="44"/>
        <v>0</v>
      </c>
      <c r="O109" s="74"/>
      <c r="P109" s="76">
        <f>O109/F109</f>
        <v>0</v>
      </c>
      <c r="Q109" s="74">
        <v>2</v>
      </c>
      <c r="R109" s="76">
        <f>Q109/F109</f>
        <v>0.2222222222222222</v>
      </c>
      <c r="S109" s="74"/>
      <c r="T109" s="34">
        <f t="shared" si="45"/>
        <v>0</v>
      </c>
      <c r="U109" s="198"/>
    </row>
    <row r="110" spans="1:21" s="19" customFormat="1" ht="17.25" customHeight="1">
      <c r="A110" s="215" t="s">
        <v>116</v>
      </c>
      <c r="B110" s="233" t="s">
        <v>117</v>
      </c>
      <c r="C110" s="174" t="s">
        <v>60</v>
      </c>
      <c r="D110" s="74" t="s">
        <v>41</v>
      </c>
      <c r="E110" s="55">
        <v>96</v>
      </c>
      <c r="F110" s="56">
        <v>96</v>
      </c>
      <c r="G110" s="55">
        <v>21</v>
      </c>
      <c r="H110" s="76">
        <f t="shared" si="46"/>
        <v>0.21875</v>
      </c>
      <c r="I110" s="74">
        <v>31</v>
      </c>
      <c r="J110" s="76">
        <f t="shared" si="42"/>
        <v>0.3229166666666667</v>
      </c>
      <c r="K110" s="74">
        <v>44</v>
      </c>
      <c r="L110" s="76">
        <f t="shared" si="43"/>
        <v>0.4583333333333333</v>
      </c>
      <c r="M110" s="76"/>
      <c r="N110" s="76">
        <f t="shared" si="44"/>
        <v>0</v>
      </c>
      <c r="O110" s="78">
        <v>3</v>
      </c>
      <c r="P110" s="76">
        <f>O110/F110</f>
        <v>0.03125</v>
      </c>
      <c r="Q110" s="55">
        <v>10</v>
      </c>
      <c r="R110" s="76">
        <f>Q110/F110</f>
        <v>0.10416666666666667</v>
      </c>
      <c r="S110" s="55"/>
      <c r="T110" s="80">
        <f t="shared" si="45"/>
        <v>0</v>
      </c>
      <c r="U110" s="186"/>
    </row>
    <row r="111" spans="1:21" s="19" customFormat="1" ht="17.25" customHeight="1" thickBot="1">
      <c r="A111" s="217"/>
      <c r="B111" s="235"/>
      <c r="C111" s="181" t="s">
        <v>66</v>
      </c>
      <c r="D111" s="181" t="s">
        <v>65</v>
      </c>
      <c r="E111" s="65">
        <v>26</v>
      </c>
      <c r="F111" s="14">
        <v>26</v>
      </c>
      <c r="G111" s="65">
        <v>6</v>
      </c>
      <c r="H111" s="66">
        <f t="shared" si="46"/>
        <v>0.23076923076923078</v>
      </c>
      <c r="I111" s="65">
        <v>8</v>
      </c>
      <c r="J111" s="66">
        <f t="shared" si="42"/>
        <v>0.3076923076923077</v>
      </c>
      <c r="K111" s="65">
        <v>12</v>
      </c>
      <c r="L111" s="66">
        <f t="shared" si="43"/>
        <v>0.46153846153846156</v>
      </c>
      <c r="M111" s="66"/>
      <c r="N111" s="66">
        <f t="shared" si="44"/>
        <v>0</v>
      </c>
      <c r="O111" s="65"/>
      <c r="P111" s="66">
        <f aca="true" t="shared" si="47" ref="P111:P120">O111/F111</f>
        <v>0</v>
      </c>
      <c r="Q111" s="65"/>
      <c r="R111" s="66"/>
      <c r="S111" s="65"/>
      <c r="T111" s="191">
        <f t="shared" si="45"/>
        <v>0</v>
      </c>
      <c r="U111" s="186"/>
    </row>
    <row r="112" spans="1:20" s="136" customFormat="1" ht="15.75" customHeight="1" thickBot="1">
      <c r="A112" s="54" t="s">
        <v>118</v>
      </c>
      <c r="B112" s="178" t="s">
        <v>119</v>
      </c>
      <c r="C112" s="197" t="s">
        <v>60</v>
      </c>
      <c r="D112" s="74" t="s">
        <v>41</v>
      </c>
      <c r="E112" s="64">
        <v>25</v>
      </c>
      <c r="F112" s="11">
        <v>25</v>
      </c>
      <c r="G112" s="64">
        <v>18</v>
      </c>
      <c r="H112" s="76">
        <f t="shared" si="46"/>
        <v>0.72</v>
      </c>
      <c r="I112" s="64">
        <v>2</v>
      </c>
      <c r="J112" s="76">
        <f t="shared" si="42"/>
        <v>0.08</v>
      </c>
      <c r="K112" s="64">
        <v>5</v>
      </c>
      <c r="L112" s="76">
        <f t="shared" si="43"/>
        <v>0.2</v>
      </c>
      <c r="M112" s="76"/>
      <c r="N112" s="76">
        <f t="shared" si="44"/>
        <v>0</v>
      </c>
      <c r="O112" s="64">
        <v>3</v>
      </c>
      <c r="P112" s="76">
        <f t="shared" si="47"/>
        <v>0.12</v>
      </c>
      <c r="Q112" s="64">
        <v>22</v>
      </c>
      <c r="R112" s="22">
        <f aca="true" t="shared" si="48" ref="R112:R119">Q112/F112</f>
        <v>0.88</v>
      </c>
      <c r="S112" s="64">
        <v>22</v>
      </c>
      <c r="T112" s="101">
        <f t="shared" si="45"/>
        <v>0.88</v>
      </c>
    </row>
    <row r="113" spans="1:20" s="136" customFormat="1" ht="15.75" customHeight="1" thickBot="1">
      <c r="A113" s="203" t="s">
        <v>156</v>
      </c>
      <c r="B113" s="178" t="s">
        <v>157</v>
      </c>
      <c r="C113" s="197" t="s">
        <v>60</v>
      </c>
      <c r="D113" s="74" t="s">
        <v>41</v>
      </c>
      <c r="E113" s="64">
        <v>24</v>
      </c>
      <c r="F113" s="11">
        <v>24</v>
      </c>
      <c r="G113" s="64">
        <v>7</v>
      </c>
      <c r="H113" s="76">
        <f>G113/F113</f>
        <v>0.2916666666666667</v>
      </c>
      <c r="I113" s="64">
        <v>7</v>
      </c>
      <c r="J113" s="76">
        <f>I113/F113</f>
        <v>0.2916666666666667</v>
      </c>
      <c r="K113" s="64">
        <v>10</v>
      </c>
      <c r="L113" s="76">
        <f>K113/F113</f>
        <v>0.4166666666666667</v>
      </c>
      <c r="M113" s="76"/>
      <c r="N113" s="76">
        <f>M113/F113</f>
        <v>0</v>
      </c>
      <c r="O113" s="64">
        <v>1</v>
      </c>
      <c r="P113" s="76">
        <f>O113/F113</f>
        <v>0.041666666666666664</v>
      </c>
      <c r="Q113" s="64">
        <v>4</v>
      </c>
      <c r="R113" s="22">
        <f>Q113/F113</f>
        <v>0.16666666666666666</v>
      </c>
      <c r="S113" s="64">
        <v>1</v>
      </c>
      <c r="T113" s="101">
        <f>S113/F113</f>
        <v>0.041666666666666664</v>
      </c>
    </row>
    <row r="114" spans="1:21" ht="25.5" customHeight="1" thickBot="1">
      <c r="A114" s="54" t="s">
        <v>120</v>
      </c>
      <c r="B114" s="71" t="s">
        <v>121</v>
      </c>
      <c r="C114" s="72" t="s">
        <v>60</v>
      </c>
      <c r="D114" s="64" t="s">
        <v>41</v>
      </c>
      <c r="E114" s="64">
        <v>10</v>
      </c>
      <c r="F114" s="11">
        <v>10</v>
      </c>
      <c r="G114" s="64">
        <v>8</v>
      </c>
      <c r="H114" s="76">
        <f t="shared" si="46"/>
        <v>0.8</v>
      </c>
      <c r="I114" s="64">
        <v>2</v>
      </c>
      <c r="J114" s="76">
        <f t="shared" si="42"/>
        <v>0.2</v>
      </c>
      <c r="K114" s="64"/>
      <c r="L114" s="76">
        <f t="shared" si="43"/>
        <v>0</v>
      </c>
      <c r="M114" s="76"/>
      <c r="N114" s="76">
        <f t="shared" si="44"/>
        <v>0</v>
      </c>
      <c r="O114" s="64">
        <v>2</v>
      </c>
      <c r="P114" s="76">
        <f t="shared" si="47"/>
        <v>0.2</v>
      </c>
      <c r="Q114" s="64">
        <v>5</v>
      </c>
      <c r="R114" s="22">
        <f t="shared" si="48"/>
        <v>0.5</v>
      </c>
      <c r="S114" s="64"/>
      <c r="T114" s="101">
        <f t="shared" si="45"/>
        <v>0</v>
      </c>
      <c r="U114" s="198"/>
    </row>
    <row r="115" spans="1:21" s="19" customFormat="1" ht="20.25" customHeight="1" thickBot="1">
      <c r="A115" s="226" t="s">
        <v>42</v>
      </c>
      <c r="B115" s="227"/>
      <c r="C115" s="218" t="s">
        <v>60</v>
      </c>
      <c r="D115" s="219"/>
      <c r="E115" s="62">
        <f>SUM(E106+E109+E110+E112+E113+E114)</f>
        <v>178</v>
      </c>
      <c r="F115" s="62">
        <f>SUM(F106+F109+F110+F112+F113+F114)</f>
        <v>178</v>
      </c>
      <c r="G115" s="62">
        <f>SUM(G106+G109+G110+G112+G113+G114)</f>
        <v>62</v>
      </c>
      <c r="H115" s="69">
        <f t="shared" si="46"/>
        <v>0.34831460674157305</v>
      </c>
      <c r="I115" s="62">
        <f>SUM(I106+I109+I110+I112+I113+I114)</f>
        <v>48</v>
      </c>
      <c r="J115" s="69">
        <f t="shared" si="42"/>
        <v>0.2696629213483146</v>
      </c>
      <c r="K115" s="62">
        <f>SUM(K106+K109+K110+K112+K113+K114)</f>
        <v>68</v>
      </c>
      <c r="L115" s="69">
        <f t="shared" si="43"/>
        <v>0.38202247191011235</v>
      </c>
      <c r="M115" s="69">
        <f>SUM(M106+M109+M110+M112+M114)</f>
        <v>0</v>
      </c>
      <c r="N115" s="69">
        <f t="shared" si="44"/>
        <v>0</v>
      </c>
      <c r="O115" s="32">
        <f>SUM(O106+O109+O110+O112+O113+O114)</f>
        <v>9</v>
      </c>
      <c r="P115" s="69">
        <f t="shared" si="47"/>
        <v>0.05056179775280899</v>
      </c>
      <c r="Q115" s="62">
        <f>SUM(Q106+Q109+Q110+Q112+Q113+Q114)</f>
        <v>43</v>
      </c>
      <c r="R115" s="33">
        <f t="shared" si="48"/>
        <v>0.24157303370786518</v>
      </c>
      <c r="S115" s="62">
        <f>SUM(S106+S109+S110+S112+S113+S114)</f>
        <v>23</v>
      </c>
      <c r="T115" s="34">
        <f t="shared" si="45"/>
        <v>0.12921348314606743</v>
      </c>
      <c r="U115" s="186"/>
    </row>
    <row r="116" spans="1:21" s="19" customFormat="1" ht="20.25" customHeight="1" thickBot="1">
      <c r="A116" s="255"/>
      <c r="B116" s="256"/>
      <c r="C116" s="218" t="s">
        <v>14</v>
      </c>
      <c r="D116" s="219"/>
      <c r="E116" s="62">
        <f>SUM(E107+E111)</f>
        <v>28</v>
      </c>
      <c r="F116" s="62">
        <f>SUM(F107+F111)</f>
        <v>28</v>
      </c>
      <c r="G116" s="62">
        <f>SUM(G107+G111)</f>
        <v>6</v>
      </c>
      <c r="H116" s="69">
        <f t="shared" si="46"/>
        <v>0.21428571428571427</v>
      </c>
      <c r="I116" s="62">
        <f>SUM(I107+I111)</f>
        <v>8</v>
      </c>
      <c r="J116" s="69">
        <f t="shared" si="42"/>
        <v>0.2857142857142857</v>
      </c>
      <c r="K116" s="62">
        <f>SUM(K107+K111)</f>
        <v>14</v>
      </c>
      <c r="L116" s="69">
        <f t="shared" si="43"/>
        <v>0.5</v>
      </c>
      <c r="M116" s="204">
        <f>SUM(M111)</f>
        <v>0</v>
      </c>
      <c r="N116" s="69">
        <f t="shared" si="44"/>
        <v>0</v>
      </c>
      <c r="O116" s="62">
        <f>SUM(O107+O111)</f>
        <v>0</v>
      </c>
      <c r="P116" s="69">
        <f t="shared" si="47"/>
        <v>0</v>
      </c>
      <c r="Q116" s="62">
        <f>SUM(Q107+Q111)</f>
        <v>0</v>
      </c>
      <c r="R116" s="33">
        <f t="shared" si="48"/>
        <v>0</v>
      </c>
      <c r="S116" s="62">
        <f>SUM(S107+S111)</f>
        <v>0</v>
      </c>
      <c r="T116" s="34">
        <f t="shared" si="45"/>
        <v>0</v>
      </c>
      <c r="U116" s="186"/>
    </row>
    <row r="117" spans="1:21" s="19" customFormat="1" ht="20.25" customHeight="1" thickBot="1">
      <c r="A117" s="228"/>
      <c r="B117" s="229"/>
      <c r="C117" s="218" t="s">
        <v>124</v>
      </c>
      <c r="D117" s="219"/>
      <c r="E117" s="62">
        <f>SUM(E108)</f>
        <v>14</v>
      </c>
      <c r="F117" s="62">
        <f>SUM(F108)</f>
        <v>14</v>
      </c>
      <c r="G117" s="62">
        <f>SUM(G108)</f>
        <v>2</v>
      </c>
      <c r="H117" s="69">
        <f t="shared" si="46"/>
        <v>0.14285714285714285</v>
      </c>
      <c r="I117" s="62">
        <f>SUM(I108)</f>
        <v>5</v>
      </c>
      <c r="J117" s="69">
        <f t="shared" si="42"/>
        <v>0.35714285714285715</v>
      </c>
      <c r="K117" s="62">
        <f>SUM(K108)</f>
        <v>7</v>
      </c>
      <c r="L117" s="69">
        <f t="shared" si="43"/>
        <v>0.5</v>
      </c>
      <c r="M117" s="204">
        <f>SUM(M108)</f>
        <v>0</v>
      </c>
      <c r="N117" s="69">
        <f t="shared" si="44"/>
        <v>0</v>
      </c>
      <c r="O117" s="62">
        <f>SUM(O108)</f>
        <v>0</v>
      </c>
      <c r="P117" s="69">
        <f t="shared" si="47"/>
        <v>0</v>
      </c>
      <c r="Q117" s="62">
        <f>SUM(Q108)</f>
        <v>0</v>
      </c>
      <c r="R117" s="33">
        <f t="shared" si="48"/>
        <v>0</v>
      </c>
      <c r="S117" s="62">
        <f>SUM(S108)</f>
        <v>0</v>
      </c>
      <c r="T117" s="34">
        <f t="shared" si="45"/>
        <v>0</v>
      </c>
      <c r="U117" s="186"/>
    </row>
    <row r="118" spans="1:21" s="19" customFormat="1" ht="20.25" customHeight="1" thickBot="1">
      <c r="A118" s="248" t="s">
        <v>43</v>
      </c>
      <c r="B118" s="249"/>
      <c r="C118" s="218" t="s">
        <v>60</v>
      </c>
      <c r="D118" s="219"/>
      <c r="E118" s="148">
        <f aca="true" t="shared" si="49" ref="E118:G119">SUM(E15+E22+E35+E53+E65+E73+E87+E103+E115)</f>
        <v>1053</v>
      </c>
      <c r="F118" s="148">
        <f t="shared" si="49"/>
        <v>1053</v>
      </c>
      <c r="G118" s="148">
        <f t="shared" si="49"/>
        <v>326</v>
      </c>
      <c r="H118" s="69">
        <f t="shared" si="46"/>
        <v>0.30959164292497626</v>
      </c>
      <c r="I118" s="148">
        <f>SUM(I15+I22+I35+I53+I65+I73+I87+I103+I115)</f>
        <v>344</v>
      </c>
      <c r="J118" s="69">
        <v>0.326</v>
      </c>
      <c r="K118" s="148">
        <f>SUM(K15+K22+K35+K53+K65+K73+K87+K103+K115)</f>
        <v>383</v>
      </c>
      <c r="L118" s="69">
        <f t="shared" si="43"/>
        <v>0.3637226970560304</v>
      </c>
      <c r="M118" s="69">
        <f>SUM(M15+M22+M35+M53+M65+M73+M87+M103+M115)</f>
        <v>0</v>
      </c>
      <c r="N118" s="69">
        <f t="shared" si="44"/>
        <v>0</v>
      </c>
      <c r="O118" s="148">
        <f>SUM(O15+O22+O35+O53+O65+O73+O87+O103+O115)</f>
        <v>44</v>
      </c>
      <c r="P118" s="69">
        <f t="shared" si="47"/>
        <v>0.04178537511870845</v>
      </c>
      <c r="Q118" s="148">
        <f>SUM(Q15+Q22+Q35+Q53+Q65+Q73+Q87+Q103+Q115)</f>
        <v>102</v>
      </c>
      <c r="R118" s="149">
        <f t="shared" si="48"/>
        <v>0.09686609686609686</v>
      </c>
      <c r="S118" s="148">
        <f>SUM(S15+S22+S35+S53+S65+S73+S87+S103+S115)</f>
        <v>40</v>
      </c>
      <c r="T118" s="34">
        <f>S118/F118</f>
        <v>0.03798670465337132</v>
      </c>
      <c r="U118" s="186"/>
    </row>
    <row r="119" spans="1:21" s="19" customFormat="1" ht="20.25" customHeight="1" thickBot="1">
      <c r="A119" s="250"/>
      <c r="B119" s="251"/>
      <c r="C119" s="254" t="s">
        <v>14</v>
      </c>
      <c r="D119" s="254"/>
      <c r="E119" s="148">
        <f t="shared" si="49"/>
        <v>354</v>
      </c>
      <c r="F119" s="148">
        <f t="shared" si="49"/>
        <v>354</v>
      </c>
      <c r="G119" s="148">
        <f t="shared" si="49"/>
        <v>58</v>
      </c>
      <c r="H119" s="69">
        <f t="shared" si="46"/>
        <v>0.1638418079096045</v>
      </c>
      <c r="I119" s="148">
        <f>SUM(I16+I23+I36+I54+I66+I74+I88+I104+I116)</f>
        <v>135</v>
      </c>
      <c r="J119" s="69">
        <f t="shared" si="42"/>
        <v>0.3813559322033898</v>
      </c>
      <c r="K119" s="148">
        <f>SUM(K16+K23+K36+K54+K66+K74+K88+K104+K116)</f>
        <v>161</v>
      </c>
      <c r="L119" s="69">
        <f t="shared" si="43"/>
        <v>0.4548022598870056</v>
      </c>
      <c r="M119" s="204">
        <f>SUM(M16+M23+M36+M54+M66+M74+M88+M104+M116)</f>
        <v>0</v>
      </c>
      <c r="N119" s="69">
        <f t="shared" si="44"/>
        <v>0</v>
      </c>
      <c r="O119" s="148">
        <f>SUM(O16+O23+O36+O54+O66+O74+O88+O104+O116)</f>
        <v>6</v>
      </c>
      <c r="P119" s="69">
        <f t="shared" si="47"/>
        <v>0.01694915254237288</v>
      </c>
      <c r="Q119" s="148">
        <f>SUM(Q16+Q23+Q36+Q54+Q66+Q74+Q88+Q104+Q116)</f>
        <v>14</v>
      </c>
      <c r="R119" s="149">
        <f t="shared" si="48"/>
        <v>0.03954802259887006</v>
      </c>
      <c r="S119" s="148">
        <f>SUM(S16+S23+S36+S54+S66+S74+S88+S104+S116)</f>
        <v>5</v>
      </c>
      <c r="T119" s="34">
        <f>S119/F119</f>
        <v>0.014124293785310734</v>
      </c>
      <c r="U119" s="186"/>
    </row>
    <row r="120" spans="1:20" s="1" customFormat="1" ht="18" thickBot="1">
      <c r="A120" s="250"/>
      <c r="B120" s="251"/>
      <c r="C120" s="254" t="s">
        <v>124</v>
      </c>
      <c r="D120" s="254"/>
      <c r="E120" s="148">
        <f>SUM(E37+E89+E117)</f>
        <v>69</v>
      </c>
      <c r="F120" s="148">
        <f>SUM(F37+F89+F117)</f>
        <v>69</v>
      </c>
      <c r="G120" s="148">
        <f>SUM(G37+G89+G117)</f>
        <v>6</v>
      </c>
      <c r="H120" s="69">
        <f t="shared" si="46"/>
        <v>0.08695652173913043</v>
      </c>
      <c r="I120" s="148">
        <f>SUM(I37+I89+I117)</f>
        <v>25</v>
      </c>
      <c r="J120" s="69">
        <f t="shared" si="42"/>
        <v>0.36231884057971014</v>
      </c>
      <c r="K120" s="148">
        <f>SUM(K37+K89+K117)</f>
        <v>38</v>
      </c>
      <c r="L120" s="69">
        <f t="shared" si="43"/>
        <v>0.5507246376811594</v>
      </c>
      <c r="M120" s="204">
        <f>SUM(M37+M89+M117)</f>
        <v>0</v>
      </c>
      <c r="N120" s="69">
        <f t="shared" si="44"/>
        <v>0</v>
      </c>
      <c r="O120" s="148">
        <f>SUM(O37+O89+O117)</f>
        <v>2</v>
      </c>
      <c r="P120" s="69">
        <f t="shared" si="47"/>
        <v>0.028985507246376812</v>
      </c>
      <c r="Q120" s="148">
        <f>SUM(Q37+Q89+Q117)</f>
        <v>0</v>
      </c>
      <c r="R120" s="149"/>
      <c r="S120" s="148">
        <f>SUM(S37+S89+S117)</f>
        <v>0</v>
      </c>
      <c r="T120" s="34"/>
    </row>
    <row r="121" spans="1:20" s="1" customFormat="1" ht="18" thickBot="1">
      <c r="A121" s="252"/>
      <c r="B121" s="253"/>
      <c r="C121" s="254" t="s">
        <v>15</v>
      </c>
      <c r="D121" s="254"/>
      <c r="E121" s="148">
        <f>SUM(E118+E119+E120)</f>
        <v>1476</v>
      </c>
      <c r="F121" s="148">
        <f>SUM(F118+F119+F120)</f>
        <v>1476</v>
      </c>
      <c r="G121" s="148">
        <f>SUM(G118+G119+G120)</f>
        <v>390</v>
      </c>
      <c r="H121" s="33">
        <f t="shared" si="46"/>
        <v>0.26422764227642276</v>
      </c>
      <c r="I121" s="148">
        <f>SUM(I118+I119+I120)</f>
        <v>504</v>
      </c>
      <c r="J121" s="33">
        <v>0.342</v>
      </c>
      <c r="K121" s="148">
        <f>SUM(K118+K119+K120)</f>
        <v>582</v>
      </c>
      <c r="L121" s="149">
        <f t="shared" si="43"/>
        <v>0.3943089430894309</v>
      </c>
      <c r="M121" s="148">
        <f>SUM(M118+M119+M120)</f>
        <v>0</v>
      </c>
      <c r="N121" s="33">
        <f t="shared" si="44"/>
        <v>0</v>
      </c>
      <c r="O121" s="148">
        <f>SUM(O118+O119+O120)</f>
        <v>52</v>
      </c>
      <c r="P121" s="33">
        <f>O121/F121</f>
        <v>0.03523035230352303</v>
      </c>
      <c r="Q121" s="148">
        <f>SUM(Q118+Q119+Q120)</f>
        <v>116</v>
      </c>
      <c r="R121" s="149">
        <f>Q121/F121</f>
        <v>0.07859078590785908</v>
      </c>
      <c r="S121" s="148">
        <f>SUM(S118+S119+S120)</f>
        <v>45</v>
      </c>
      <c r="T121" s="150">
        <f>S121/F121</f>
        <v>0.03048780487804878</v>
      </c>
    </row>
    <row r="122" spans="1:20" s="136" customFormat="1" ht="15" customHeight="1">
      <c r="A122" s="257" t="s">
        <v>158</v>
      </c>
      <c r="B122" s="257"/>
      <c r="C122" s="152"/>
      <c r="D122" s="152"/>
      <c r="E122" s="152"/>
      <c r="F122" s="152"/>
      <c r="G122" s="152"/>
      <c r="H122" s="153"/>
      <c r="I122" s="152"/>
      <c r="J122" s="153"/>
      <c r="K122" s="152"/>
      <c r="L122" s="153"/>
      <c r="M122" s="153"/>
      <c r="N122" s="153"/>
      <c r="O122" s="152"/>
      <c r="P122" s="153"/>
      <c r="Q122" s="152"/>
      <c r="R122" s="153"/>
      <c r="S122" s="152"/>
      <c r="T122" s="153"/>
    </row>
    <row r="123" spans="1:20" ht="18">
      <c r="A123" s="258" t="s">
        <v>44</v>
      </c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</row>
    <row r="124" ht="12.75">
      <c r="A124" s="2" t="s">
        <v>155</v>
      </c>
    </row>
    <row r="125" ht="12.75">
      <c r="A125" s="2" t="s">
        <v>35</v>
      </c>
    </row>
  </sheetData>
  <sheetProtection/>
  <mergeCells count="126">
    <mergeCell ref="C93:C94"/>
    <mergeCell ref="C116:D116"/>
    <mergeCell ref="C119:D119"/>
    <mergeCell ref="C20:C21"/>
    <mergeCell ref="C27:C28"/>
    <mergeCell ref="C29:C30"/>
    <mergeCell ref="C88:D88"/>
    <mergeCell ref="C36:D36"/>
    <mergeCell ref="C23:D23"/>
    <mergeCell ref="C104:D104"/>
    <mergeCell ref="C18:C19"/>
    <mergeCell ref="C15:D15"/>
    <mergeCell ref="B39:B44"/>
    <mergeCell ref="A22:B23"/>
    <mergeCell ref="B84:B86"/>
    <mergeCell ref="A87:B89"/>
    <mergeCell ref="C87:D87"/>
    <mergeCell ref="C89:D89"/>
    <mergeCell ref="C53:D53"/>
    <mergeCell ref="C25:C26"/>
    <mergeCell ref="A8:T8"/>
    <mergeCell ref="I5:J5"/>
    <mergeCell ref="G5:H5"/>
    <mergeCell ref="A7:B7"/>
    <mergeCell ref="A39:A44"/>
    <mergeCell ref="C35:D35"/>
    <mergeCell ref="D4:D6"/>
    <mergeCell ref="A38:T38"/>
    <mergeCell ref="A18:A21"/>
    <mergeCell ref="C22:D22"/>
    <mergeCell ref="A1:T1"/>
    <mergeCell ref="A2:T2"/>
    <mergeCell ref="A3:T3"/>
    <mergeCell ref="A4:B6"/>
    <mergeCell ref="C4:C6"/>
    <mergeCell ref="B18:B21"/>
    <mergeCell ref="E4:E6"/>
    <mergeCell ref="F4:F6"/>
    <mergeCell ref="O4:P5"/>
    <mergeCell ref="Q4:R5"/>
    <mergeCell ref="C51:C52"/>
    <mergeCell ref="C39:C41"/>
    <mergeCell ref="C42:C44"/>
    <mergeCell ref="C49:C50"/>
    <mergeCell ref="B31:B32"/>
    <mergeCell ref="B49:B52"/>
    <mergeCell ref="A123:T123"/>
    <mergeCell ref="A55:T55"/>
    <mergeCell ref="A56:A63"/>
    <mergeCell ref="B56:B63"/>
    <mergeCell ref="C56:C59"/>
    <mergeCell ref="C33:C34"/>
    <mergeCell ref="A45:A48"/>
    <mergeCell ref="B45:B48"/>
    <mergeCell ref="A35:B37"/>
    <mergeCell ref="A67:T67"/>
    <mergeCell ref="B68:B69"/>
    <mergeCell ref="C54:D54"/>
    <mergeCell ref="A31:A32"/>
    <mergeCell ref="A122:B122"/>
    <mergeCell ref="C74:D74"/>
    <mergeCell ref="A84:A86"/>
    <mergeCell ref="A68:A69"/>
    <mergeCell ref="C65:D65"/>
    <mergeCell ref="A93:A96"/>
    <mergeCell ref="B93:B96"/>
    <mergeCell ref="C99:C100"/>
    <mergeCell ref="A101:A102"/>
    <mergeCell ref="B101:B102"/>
    <mergeCell ref="C60:C63"/>
    <mergeCell ref="C73:D73"/>
    <mergeCell ref="C91:C92"/>
    <mergeCell ref="A91:A92"/>
    <mergeCell ref="B91:B92"/>
    <mergeCell ref="C95:C96"/>
    <mergeCell ref="C66:D66"/>
    <mergeCell ref="A115:B117"/>
    <mergeCell ref="A76:A78"/>
    <mergeCell ref="B76:B78"/>
    <mergeCell ref="A71:A72"/>
    <mergeCell ref="C115:D115"/>
    <mergeCell ref="C117:D117"/>
    <mergeCell ref="B106:B108"/>
    <mergeCell ref="A105:T105"/>
    <mergeCell ref="A103:B104"/>
    <mergeCell ref="C103:D103"/>
    <mergeCell ref="A118:B121"/>
    <mergeCell ref="C118:D118"/>
    <mergeCell ref="B33:B34"/>
    <mergeCell ref="C121:D121"/>
    <mergeCell ref="A75:T75"/>
    <mergeCell ref="A106:A108"/>
    <mergeCell ref="A110:A111"/>
    <mergeCell ref="B110:B111"/>
    <mergeCell ref="A33:A34"/>
    <mergeCell ref="C120:D120"/>
    <mergeCell ref="A97:A98"/>
    <mergeCell ref="B97:B98"/>
    <mergeCell ref="A65:B66"/>
    <mergeCell ref="A53:B54"/>
    <mergeCell ref="B71:B72"/>
    <mergeCell ref="A73:B74"/>
    <mergeCell ref="A90:T90"/>
    <mergeCell ref="A81:A82"/>
    <mergeCell ref="B81:B82"/>
    <mergeCell ref="C97:C98"/>
    <mergeCell ref="A9:A10"/>
    <mergeCell ref="B9:B10"/>
    <mergeCell ref="A12:A14"/>
    <mergeCell ref="G4:N4"/>
    <mergeCell ref="M5:N5"/>
    <mergeCell ref="A24:T24"/>
    <mergeCell ref="S4:T5"/>
    <mergeCell ref="B12:B14"/>
    <mergeCell ref="C12:C13"/>
    <mergeCell ref="K5:L5"/>
    <mergeCell ref="A49:A52"/>
    <mergeCell ref="C16:D16"/>
    <mergeCell ref="C37:D37"/>
    <mergeCell ref="C45:C46"/>
    <mergeCell ref="C47:C48"/>
    <mergeCell ref="C31:C32"/>
    <mergeCell ref="A15:B16"/>
    <mergeCell ref="A17:T17"/>
    <mergeCell ref="A25:A30"/>
    <mergeCell ref="B25:B30"/>
  </mergeCells>
  <printOptions/>
  <pageMargins left="0.18" right="0.16" top="0.1968503937007874" bottom="0.21" header="0.15748031496062992" footer="0.16"/>
  <pageSetup horizontalDpi="600" verticalDpi="600" orientation="landscape" paperSize="9" scale="85" r:id="rId1"/>
  <rowBreaks count="3" manualBreakCount="3">
    <brk id="37" max="17" man="1"/>
    <brk id="66" max="19" man="1"/>
    <brk id="8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99"/>
  <sheetViews>
    <sheetView showZeros="0" view="pageBreakPreview" zoomScaleSheetLayoutView="100" zoomScalePageLayoutView="0" workbookViewId="0" topLeftCell="A39">
      <selection activeCell="N25" sqref="N25"/>
    </sheetView>
  </sheetViews>
  <sheetFormatPr defaultColWidth="10.625" defaultRowHeight="12.75"/>
  <cols>
    <col min="1" max="1" width="10.625" style="4" customWidth="1"/>
    <col min="2" max="2" width="17.625" style="2" customWidth="1"/>
    <col min="3" max="3" width="8.375" style="5" customWidth="1"/>
    <col min="4" max="4" width="21.125" style="5" customWidth="1"/>
    <col min="5" max="5" width="9.625" style="2" customWidth="1"/>
    <col min="6" max="6" width="10.00390625" style="2" customWidth="1"/>
    <col min="7" max="7" width="5.125" style="2" customWidth="1"/>
    <col min="8" max="8" width="6.875" style="2" customWidth="1"/>
    <col min="9" max="9" width="4.375" style="2" customWidth="1"/>
    <col min="10" max="10" width="7.375" style="2" customWidth="1"/>
    <col min="11" max="11" width="4.50390625" style="2" customWidth="1"/>
    <col min="12" max="12" width="7.625" style="2" customWidth="1"/>
    <col min="13" max="13" width="4.50390625" style="2" customWidth="1"/>
    <col min="14" max="14" width="6.875" style="2" customWidth="1"/>
    <col min="15" max="15" width="4.125" style="26" customWidth="1"/>
    <col min="16" max="16" width="6.375" style="2" customWidth="1"/>
    <col min="17" max="17" width="4.625" style="26" customWidth="1"/>
    <col min="18" max="18" width="7.625" style="2" customWidth="1"/>
    <col min="19" max="19" width="4.50390625" style="26" customWidth="1"/>
    <col min="20" max="20" width="7.50390625" style="2" customWidth="1"/>
    <col min="21" max="21" width="4.625" style="26" customWidth="1"/>
    <col min="22" max="22" width="7.625" style="2" customWidth="1"/>
    <col min="23" max="16384" width="10.625" style="2" customWidth="1"/>
  </cols>
  <sheetData>
    <row r="1" spans="1:22" s="1" customFormat="1" ht="17.25">
      <c r="A1" s="263" t="s">
        <v>40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s="1" customFormat="1" ht="17.25">
      <c r="A2" s="263" t="s">
        <v>50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2" s="1" customFormat="1" ht="18" thickBot="1">
      <c r="A3" s="264" t="s">
        <v>131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ht="12.75">
      <c r="A4" s="312" t="s">
        <v>21</v>
      </c>
      <c r="B4" s="236"/>
      <c r="C4" s="224" t="s">
        <v>22</v>
      </c>
      <c r="D4" s="220" t="s">
        <v>47</v>
      </c>
      <c r="E4" s="224" t="s">
        <v>51</v>
      </c>
      <c r="F4" s="224" t="s">
        <v>52</v>
      </c>
      <c r="G4" s="315" t="s">
        <v>36</v>
      </c>
      <c r="H4" s="316"/>
      <c r="I4" s="316"/>
      <c r="J4" s="316"/>
      <c r="K4" s="316"/>
      <c r="L4" s="317"/>
      <c r="M4" s="224" t="s">
        <v>3</v>
      </c>
      <c r="N4" s="224"/>
      <c r="O4" s="224" t="s">
        <v>23</v>
      </c>
      <c r="P4" s="224"/>
      <c r="Q4" s="224" t="s">
        <v>24</v>
      </c>
      <c r="R4" s="224"/>
      <c r="S4" s="224" t="s">
        <v>25</v>
      </c>
      <c r="T4" s="224"/>
      <c r="U4" s="224" t="s">
        <v>26</v>
      </c>
      <c r="V4" s="309"/>
    </row>
    <row r="5" spans="1:22" ht="12.75">
      <c r="A5" s="313"/>
      <c r="B5" s="314"/>
      <c r="C5" s="247"/>
      <c r="D5" s="318"/>
      <c r="E5" s="247"/>
      <c r="F5" s="247"/>
      <c r="G5" s="311" t="s">
        <v>27</v>
      </c>
      <c r="H5" s="311"/>
      <c r="I5" s="311" t="s">
        <v>28</v>
      </c>
      <c r="J5" s="311"/>
      <c r="K5" s="311" t="s">
        <v>29</v>
      </c>
      <c r="L5" s="311"/>
      <c r="M5" s="247"/>
      <c r="N5" s="247"/>
      <c r="O5" s="247"/>
      <c r="P5" s="247"/>
      <c r="Q5" s="247"/>
      <c r="R5" s="247"/>
      <c r="S5" s="247"/>
      <c r="T5" s="247"/>
      <c r="U5" s="247"/>
      <c r="V5" s="310"/>
    </row>
    <row r="6" spans="1:22" ht="26.25" customHeight="1">
      <c r="A6" s="313"/>
      <c r="B6" s="314"/>
      <c r="C6" s="247"/>
      <c r="D6" s="318"/>
      <c r="E6" s="247"/>
      <c r="F6" s="247"/>
      <c r="G6" s="311"/>
      <c r="H6" s="311"/>
      <c r="I6" s="311"/>
      <c r="J6" s="311"/>
      <c r="K6" s="311"/>
      <c r="L6" s="311"/>
      <c r="M6" s="247"/>
      <c r="N6" s="247"/>
      <c r="O6" s="247"/>
      <c r="P6" s="247"/>
      <c r="Q6" s="247"/>
      <c r="R6" s="247"/>
      <c r="S6" s="247"/>
      <c r="T6" s="247"/>
      <c r="U6" s="247"/>
      <c r="V6" s="310"/>
    </row>
    <row r="7" spans="1:22" ht="13.5" thickBot="1">
      <c r="A7" s="313"/>
      <c r="B7" s="314"/>
      <c r="C7" s="222"/>
      <c r="D7" s="278"/>
      <c r="E7" s="222"/>
      <c r="F7" s="222"/>
      <c r="G7" s="23" t="s">
        <v>4</v>
      </c>
      <c r="H7" s="23" t="s">
        <v>5</v>
      </c>
      <c r="I7" s="23" t="s">
        <v>4</v>
      </c>
      <c r="J7" s="23" t="s">
        <v>5</v>
      </c>
      <c r="K7" s="23" t="s">
        <v>4</v>
      </c>
      <c r="L7" s="23" t="s">
        <v>5</v>
      </c>
      <c r="M7" s="23" t="s">
        <v>4</v>
      </c>
      <c r="N7" s="23" t="s">
        <v>5</v>
      </c>
      <c r="O7" s="25" t="s">
        <v>4</v>
      </c>
      <c r="P7" s="23" t="s">
        <v>5</v>
      </c>
      <c r="Q7" s="25" t="s">
        <v>4</v>
      </c>
      <c r="R7" s="23" t="s">
        <v>5</v>
      </c>
      <c r="S7" s="25" t="s">
        <v>4</v>
      </c>
      <c r="T7" s="23" t="s">
        <v>5</v>
      </c>
      <c r="U7" s="25" t="s">
        <v>4</v>
      </c>
      <c r="V7" s="24" t="s">
        <v>5</v>
      </c>
    </row>
    <row r="8" spans="1:22" s="6" customFormat="1" ht="13.5" thickBot="1">
      <c r="A8" s="307">
        <v>1</v>
      </c>
      <c r="B8" s="308"/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/>
      <c r="O8" s="43">
        <v>14</v>
      </c>
      <c r="P8" s="10">
        <v>15</v>
      </c>
      <c r="Q8" s="43">
        <v>16</v>
      </c>
      <c r="R8" s="10">
        <v>17</v>
      </c>
      <c r="S8" s="43">
        <v>18</v>
      </c>
      <c r="T8" s="10">
        <v>19</v>
      </c>
      <c r="U8" s="43">
        <v>20</v>
      </c>
      <c r="V8" s="44">
        <v>21</v>
      </c>
    </row>
    <row r="9" spans="1:22" s="6" customFormat="1" ht="21" customHeight="1" thickBot="1">
      <c r="A9" s="287" t="s">
        <v>56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7"/>
    </row>
    <row r="10" spans="1:22" ht="54" customHeight="1" thickBot="1">
      <c r="A10" s="168" t="s">
        <v>134</v>
      </c>
      <c r="B10" s="95" t="s">
        <v>135</v>
      </c>
      <c r="C10" s="70" t="s">
        <v>60</v>
      </c>
      <c r="D10" s="95" t="s">
        <v>41</v>
      </c>
      <c r="E10" s="74">
        <v>11</v>
      </c>
      <c r="F10" s="75">
        <v>11</v>
      </c>
      <c r="G10" s="74">
        <v>7</v>
      </c>
      <c r="H10" s="76">
        <f>G10/$F10</f>
        <v>0.6363636363636364</v>
      </c>
      <c r="I10" s="74">
        <v>2</v>
      </c>
      <c r="J10" s="76">
        <f>I10/$F10</f>
        <v>0.18181818181818182</v>
      </c>
      <c r="K10" s="74">
        <v>2</v>
      </c>
      <c r="L10" s="76">
        <f>K10/$F10</f>
        <v>0.18181818181818182</v>
      </c>
      <c r="M10" s="75">
        <v>2</v>
      </c>
      <c r="N10" s="76">
        <f>M10/$F10</f>
        <v>0.18181818181818182</v>
      </c>
      <c r="O10" s="78"/>
      <c r="P10" s="76">
        <f>O10/F10</f>
        <v>0</v>
      </c>
      <c r="Q10" s="78"/>
      <c r="R10" s="69">
        <f>Q10/F10</f>
        <v>0</v>
      </c>
      <c r="S10" s="78"/>
      <c r="T10" s="76">
        <f>S10/F10</f>
        <v>0</v>
      </c>
      <c r="U10" s="78"/>
      <c r="V10" s="94">
        <f>U10/F10</f>
        <v>0</v>
      </c>
    </row>
    <row r="11" spans="1:22" s="97" customFormat="1" ht="21" customHeight="1" thickBot="1">
      <c r="A11" s="279" t="s">
        <v>42</v>
      </c>
      <c r="B11" s="219"/>
      <c r="C11" s="282" t="s">
        <v>60</v>
      </c>
      <c r="D11" s="291"/>
      <c r="E11" s="62">
        <f>SUM(E10)</f>
        <v>11</v>
      </c>
      <c r="F11" s="62">
        <f>SUM(F10)</f>
        <v>11</v>
      </c>
      <c r="G11" s="62">
        <f>SUM(G10)</f>
        <v>7</v>
      </c>
      <c r="H11" s="33">
        <f>G11/$F11</f>
        <v>0.6363636363636364</v>
      </c>
      <c r="I11" s="62">
        <f>SUM(I10)</f>
        <v>2</v>
      </c>
      <c r="J11" s="33">
        <f>I11/$F11</f>
        <v>0.18181818181818182</v>
      </c>
      <c r="K11" s="62">
        <f>SUM(K10)</f>
        <v>2</v>
      </c>
      <c r="L11" s="33">
        <f>K11/$F11</f>
        <v>0.18181818181818182</v>
      </c>
      <c r="M11" s="143">
        <f>SUM(M10)</f>
        <v>2</v>
      </c>
      <c r="N11" s="33">
        <f>M11/$F11</f>
        <v>0.18181818181818182</v>
      </c>
      <c r="O11" s="32">
        <f>SUM(O10)</f>
        <v>0</v>
      </c>
      <c r="P11" s="33">
        <f>O11/F11</f>
        <v>0</v>
      </c>
      <c r="Q11" s="32">
        <f>SUM(Q10)</f>
        <v>0</v>
      </c>
      <c r="R11" s="33">
        <f>Q11/F11</f>
        <v>0</v>
      </c>
      <c r="S11" s="32">
        <f>SUM(S10)</f>
        <v>0</v>
      </c>
      <c r="T11" s="33">
        <f>S11/F11</f>
        <v>0</v>
      </c>
      <c r="U11" s="32">
        <f>SUM(U10)</f>
        <v>0</v>
      </c>
      <c r="V11" s="34">
        <f>U11/F11</f>
        <v>0</v>
      </c>
    </row>
    <row r="12" spans="1:22" s="213" customFormat="1" ht="24.75" customHeight="1" thickBot="1">
      <c r="A12" s="287" t="s">
        <v>57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</row>
    <row r="13" spans="1:22" s="6" customFormat="1" ht="68.25" customHeight="1" thickBot="1">
      <c r="A13" s="166" t="s">
        <v>132</v>
      </c>
      <c r="B13" s="165" t="s">
        <v>133</v>
      </c>
      <c r="C13" s="72" t="s">
        <v>60</v>
      </c>
      <c r="D13" s="167" t="s">
        <v>41</v>
      </c>
      <c r="E13" s="64">
        <v>13</v>
      </c>
      <c r="F13" s="12">
        <v>13</v>
      </c>
      <c r="G13" s="64">
        <v>5</v>
      </c>
      <c r="H13" s="68">
        <f>G13/$F13</f>
        <v>0.38461538461538464</v>
      </c>
      <c r="I13" s="64">
        <v>3</v>
      </c>
      <c r="J13" s="22">
        <f>I13/$F13</f>
        <v>0.23076923076923078</v>
      </c>
      <c r="K13" s="64">
        <v>5</v>
      </c>
      <c r="L13" s="22">
        <f>K13/$F13</f>
        <v>0.38461538461538464</v>
      </c>
      <c r="M13" s="86"/>
      <c r="N13" s="22">
        <f>M13/$F13</f>
        <v>0</v>
      </c>
      <c r="O13" s="11"/>
      <c r="P13" s="33">
        <f>O13/F13</f>
        <v>0</v>
      </c>
      <c r="Q13" s="87">
        <v>13</v>
      </c>
      <c r="R13" s="22">
        <f>Q13/F13</f>
        <v>1</v>
      </c>
      <c r="S13" s="87"/>
      <c r="T13" s="33">
        <f>S13/F13</f>
        <v>0</v>
      </c>
      <c r="U13" s="11"/>
      <c r="V13" s="34">
        <f>U13/F13</f>
        <v>0</v>
      </c>
    </row>
    <row r="14" spans="1:22" s="97" customFormat="1" ht="27" customHeight="1" thickBot="1">
      <c r="A14" s="279" t="s">
        <v>42</v>
      </c>
      <c r="B14" s="219"/>
      <c r="C14" s="282" t="s">
        <v>60</v>
      </c>
      <c r="D14" s="281"/>
      <c r="E14" s="134">
        <f>SUM(E13)</f>
        <v>13</v>
      </c>
      <c r="F14" s="134">
        <f>SUM(F13)</f>
        <v>13</v>
      </c>
      <c r="G14" s="134">
        <f>SUM(G13)</f>
        <v>5</v>
      </c>
      <c r="H14" s="83">
        <f>G14/$F14</f>
        <v>0.38461538461538464</v>
      </c>
      <c r="I14" s="134">
        <f>SUM(I13)</f>
        <v>3</v>
      </c>
      <c r="J14" s="83">
        <f>I14/$F14</f>
        <v>0.23076923076923078</v>
      </c>
      <c r="K14" s="134">
        <f>SUM(K13)</f>
        <v>5</v>
      </c>
      <c r="L14" s="83">
        <f>K14/$F14</f>
        <v>0.38461538461538464</v>
      </c>
      <c r="M14" s="134">
        <f>SUM(M13)</f>
        <v>0</v>
      </c>
      <c r="N14" s="83">
        <f>M14/$F14</f>
        <v>0</v>
      </c>
      <c r="O14" s="135">
        <f>SUM(O13)</f>
        <v>0</v>
      </c>
      <c r="P14" s="83">
        <f>O14/F14</f>
        <v>0</v>
      </c>
      <c r="Q14" s="135">
        <f>SUM(Q13)</f>
        <v>13</v>
      </c>
      <c r="R14" s="83">
        <f>Q14/F14</f>
        <v>1</v>
      </c>
      <c r="S14" s="135">
        <f>SUM(S13)</f>
        <v>0</v>
      </c>
      <c r="T14" s="83">
        <f>S14/F14</f>
        <v>0</v>
      </c>
      <c r="U14" s="135">
        <f>SUM(U13)</f>
        <v>0</v>
      </c>
      <c r="V14" s="84">
        <f>U14/F14</f>
        <v>0</v>
      </c>
    </row>
    <row r="15" spans="1:22" s="213" customFormat="1" ht="23.25" customHeight="1" thickBot="1">
      <c r="A15" s="287" t="s">
        <v>73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9"/>
    </row>
    <row r="16" spans="1:22" s="97" customFormat="1" ht="66" customHeight="1">
      <c r="A16" s="168" t="s">
        <v>136</v>
      </c>
      <c r="B16" s="95" t="s">
        <v>137</v>
      </c>
      <c r="C16" s="70" t="s">
        <v>14</v>
      </c>
      <c r="D16" s="95" t="s">
        <v>65</v>
      </c>
      <c r="E16" s="74">
        <f>SUM(28+30+27)</f>
        <v>85</v>
      </c>
      <c r="F16" s="74">
        <f>SUM(28+30+27)</f>
        <v>85</v>
      </c>
      <c r="G16" s="74">
        <f>SUM(4+3+3)</f>
        <v>10</v>
      </c>
      <c r="H16" s="76">
        <f>G16/$F16</f>
        <v>0.11764705882352941</v>
      </c>
      <c r="I16" s="74">
        <f>SUM(10+12+10)</f>
        <v>32</v>
      </c>
      <c r="J16" s="76">
        <f>I16/$F16</f>
        <v>0.3764705882352941</v>
      </c>
      <c r="K16" s="74">
        <f>SUM(14+15+14)</f>
        <v>43</v>
      </c>
      <c r="L16" s="76">
        <f>K16/$F16</f>
        <v>0.5058823529411764</v>
      </c>
      <c r="M16" s="77">
        <f>SUM(3+0+2)</f>
        <v>5</v>
      </c>
      <c r="N16" s="76">
        <f>M16/$F16</f>
        <v>0.058823529411764705</v>
      </c>
      <c r="O16" s="78"/>
      <c r="P16" s="69">
        <f>O16/F16</f>
        <v>0</v>
      </c>
      <c r="Q16" s="79"/>
      <c r="R16" s="69"/>
      <c r="S16" s="79"/>
      <c r="T16" s="69"/>
      <c r="U16" s="78"/>
      <c r="V16" s="80"/>
    </row>
    <row r="17" spans="1:22" s="97" customFormat="1" ht="54" customHeight="1" thickBot="1">
      <c r="A17" s="170" t="s">
        <v>136</v>
      </c>
      <c r="B17" s="171" t="s">
        <v>138</v>
      </c>
      <c r="C17" s="205" t="s">
        <v>60</v>
      </c>
      <c r="D17" s="206" t="s">
        <v>65</v>
      </c>
      <c r="E17" s="201">
        <v>43</v>
      </c>
      <c r="F17" s="207">
        <v>43</v>
      </c>
      <c r="G17" s="201">
        <v>7</v>
      </c>
      <c r="H17" s="20">
        <f>G17/$F17</f>
        <v>0.16279069767441862</v>
      </c>
      <c r="I17" s="201">
        <v>14</v>
      </c>
      <c r="J17" s="20">
        <f>I17/$F17</f>
        <v>0.32558139534883723</v>
      </c>
      <c r="K17" s="201">
        <v>22</v>
      </c>
      <c r="L17" s="20">
        <f>K17/$F17</f>
        <v>0.5116279069767442</v>
      </c>
      <c r="M17" s="208"/>
      <c r="N17" s="20">
        <f>M17/$F17</f>
        <v>0</v>
      </c>
      <c r="O17" s="7"/>
      <c r="P17" s="20">
        <f>O17/F17</f>
        <v>0</v>
      </c>
      <c r="Q17" s="209"/>
      <c r="R17" s="210"/>
      <c r="S17" s="209"/>
      <c r="T17" s="210"/>
      <c r="U17" s="7"/>
      <c r="V17" s="211"/>
    </row>
    <row r="18" spans="1:22" s="97" customFormat="1" ht="27" customHeight="1" thickBot="1">
      <c r="A18" s="255" t="s">
        <v>42</v>
      </c>
      <c r="B18" s="256"/>
      <c r="C18" s="282" t="s">
        <v>60</v>
      </c>
      <c r="D18" s="283"/>
      <c r="E18" s="62">
        <f>SUM(E17)</f>
        <v>43</v>
      </c>
      <c r="F18" s="62">
        <f>SUM(F17)</f>
        <v>43</v>
      </c>
      <c r="G18" s="62">
        <f>SUM(G17)</f>
        <v>7</v>
      </c>
      <c r="H18" s="33">
        <f>G18/$F18</f>
        <v>0.16279069767441862</v>
      </c>
      <c r="I18" s="62">
        <f>SUM(I17)</f>
        <v>14</v>
      </c>
      <c r="J18" s="33">
        <f>I18/$F18</f>
        <v>0.32558139534883723</v>
      </c>
      <c r="K18" s="62">
        <f>SUM(K17)</f>
        <v>22</v>
      </c>
      <c r="L18" s="33">
        <f>K18/$F18</f>
        <v>0.5116279069767442</v>
      </c>
      <c r="M18" s="62">
        <f>SUM(M17)</f>
        <v>0</v>
      </c>
      <c r="N18" s="33">
        <f>M18/$F18</f>
        <v>0</v>
      </c>
      <c r="O18" s="32">
        <f>SUM(O17)</f>
        <v>0</v>
      </c>
      <c r="P18" s="33">
        <f>O18/F18</f>
        <v>0</v>
      </c>
      <c r="Q18" s="32">
        <f>SUM(Q17)</f>
        <v>0</v>
      </c>
      <c r="R18" s="33">
        <f>Q18/F18</f>
        <v>0</v>
      </c>
      <c r="S18" s="32">
        <f>SUM(S17)</f>
        <v>0</v>
      </c>
      <c r="T18" s="33">
        <f>S18/F18</f>
        <v>0</v>
      </c>
      <c r="U18" s="32">
        <f>SUM(U17)</f>
        <v>0</v>
      </c>
      <c r="V18" s="34">
        <f>U18/F18</f>
        <v>0</v>
      </c>
    </row>
    <row r="19" spans="1:22" s="97" customFormat="1" ht="21" customHeight="1" thickBot="1">
      <c r="A19" s="228"/>
      <c r="B19" s="229"/>
      <c r="C19" s="293" t="s">
        <v>14</v>
      </c>
      <c r="D19" s="219"/>
      <c r="E19" s="62">
        <f>SUM(E16)</f>
        <v>85</v>
      </c>
      <c r="F19" s="62">
        <f>SUM(F16)</f>
        <v>85</v>
      </c>
      <c r="G19" s="62">
        <f>SUM(G16)</f>
        <v>10</v>
      </c>
      <c r="H19" s="33">
        <f>G19/$F19</f>
        <v>0.11764705882352941</v>
      </c>
      <c r="I19" s="62">
        <f>SUM(I16)</f>
        <v>32</v>
      </c>
      <c r="J19" s="33">
        <f>I19/$F19</f>
        <v>0.3764705882352941</v>
      </c>
      <c r="K19" s="62">
        <f>SUM(K16)</f>
        <v>43</v>
      </c>
      <c r="L19" s="33">
        <f>K19/$F19</f>
        <v>0.5058823529411764</v>
      </c>
      <c r="M19" s="62">
        <f>SUM(M16)</f>
        <v>5</v>
      </c>
      <c r="N19" s="33">
        <f>M19/$F19</f>
        <v>0.058823529411764705</v>
      </c>
      <c r="O19" s="32">
        <f>SUM(O16)</f>
        <v>0</v>
      </c>
      <c r="P19" s="33">
        <f>O19/F19</f>
        <v>0</v>
      </c>
      <c r="Q19" s="32">
        <f>SUM(Q16)</f>
        <v>0</v>
      </c>
      <c r="R19" s="33"/>
      <c r="S19" s="32">
        <f>SUM(S16)</f>
        <v>0</v>
      </c>
      <c r="T19" s="33"/>
      <c r="U19" s="32">
        <f>SUM(U16)</f>
        <v>0</v>
      </c>
      <c r="V19" s="34"/>
    </row>
    <row r="20" spans="1:22" s="213" customFormat="1" ht="23.25" customHeight="1" thickBot="1">
      <c r="A20" s="287" t="s">
        <v>151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9"/>
    </row>
    <row r="21" spans="1:22" s="97" customFormat="1" ht="40.5" customHeight="1" thickBot="1">
      <c r="A21" s="61">
        <v>231</v>
      </c>
      <c r="B21" s="95" t="s">
        <v>139</v>
      </c>
      <c r="C21" s="70" t="s">
        <v>14</v>
      </c>
      <c r="D21" s="95" t="s">
        <v>65</v>
      </c>
      <c r="E21" s="74">
        <v>10</v>
      </c>
      <c r="F21" s="75">
        <v>9</v>
      </c>
      <c r="G21" s="74">
        <v>2</v>
      </c>
      <c r="H21" s="76">
        <f>G21/$F21</f>
        <v>0.2222222222222222</v>
      </c>
      <c r="I21" s="74">
        <v>3</v>
      </c>
      <c r="J21" s="76">
        <f>I21/$F21</f>
        <v>0.3333333333333333</v>
      </c>
      <c r="K21" s="74">
        <v>4</v>
      </c>
      <c r="L21" s="76">
        <f>K21/$F21</f>
        <v>0.4444444444444444</v>
      </c>
      <c r="M21" s="77"/>
      <c r="N21" s="76">
        <f>M21/$F21</f>
        <v>0</v>
      </c>
      <c r="O21" s="78"/>
      <c r="P21" s="69">
        <f>O21/F21</f>
        <v>0</v>
      </c>
      <c r="Q21" s="79"/>
      <c r="R21" s="69"/>
      <c r="S21" s="79"/>
      <c r="T21" s="69"/>
      <c r="U21" s="78"/>
      <c r="V21" s="80"/>
    </row>
    <row r="22" spans="1:22" s="97" customFormat="1" ht="20.25" customHeight="1" thickBot="1">
      <c r="A22" s="279" t="s">
        <v>42</v>
      </c>
      <c r="B22" s="219"/>
      <c r="C22" s="282" t="s">
        <v>14</v>
      </c>
      <c r="D22" s="283"/>
      <c r="E22" s="62">
        <f>SUM(E21)</f>
        <v>10</v>
      </c>
      <c r="F22" s="62">
        <f>SUM(F21)</f>
        <v>9</v>
      </c>
      <c r="G22" s="62">
        <f>SUM(G21)</f>
        <v>2</v>
      </c>
      <c r="H22" s="33">
        <f>G22/$F22</f>
        <v>0.2222222222222222</v>
      </c>
      <c r="I22" s="62">
        <f>SUM(I21)</f>
        <v>3</v>
      </c>
      <c r="J22" s="33">
        <f>I22/$F22</f>
        <v>0.3333333333333333</v>
      </c>
      <c r="K22" s="62">
        <f>SUM(K21)</f>
        <v>4</v>
      </c>
      <c r="L22" s="33">
        <f>K22/$F22</f>
        <v>0.4444444444444444</v>
      </c>
      <c r="M22" s="62">
        <f>SUM(M21)</f>
        <v>0</v>
      </c>
      <c r="N22" s="33">
        <f>M22/$F22</f>
        <v>0</v>
      </c>
      <c r="O22" s="32">
        <f>SUM(O21)</f>
        <v>0</v>
      </c>
      <c r="P22" s="33">
        <f>O22/F22</f>
        <v>0</v>
      </c>
      <c r="Q22" s="32">
        <f>SUM(Q21)</f>
        <v>0</v>
      </c>
      <c r="R22" s="33"/>
      <c r="S22" s="32">
        <f>SUM(S21)</f>
        <v>0</v>
      </c>
      <c r="T22" s="33"/>
      <c r="U22" s="32">
        <f>SUM(U21)</f>
        <v>0</v>
      </c>
      <c r="V22" s="34"/>
    </row>
    <row r="23" spans="1:22" s="97" customFormat="1" ht="24.75" customHeight="1" thickBot="1">
      <c r="A23" s="287" t="s">
        <v>59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9"/>
    </row>
    <row r="24" spans="1:22" s="97" customFormat="1" ht="66.75" customHeight="1" thickBot="1">
      <c r="A24" s="61">
        <v>192</v>
      </c>
      <c r="B24" s="95" t="s">
        <v>140</v>
      </c>
      <c r="C24" s="70" t="s">
        <v>60</v>
      </c>
      <c r="D24" s="90" t="s">
        <v>41</v>
      </c>
      <c r="E24" s="74">
        <v>7</v>
      </c>
      <c r="F24" s="75">
        <v>7</v>
      </c>
      <c r="G24" s="74"/>
      <c r="H24" s="76">
        <f>G24/$F24</f>
        <v>0</v>
      </c>
      <c r="I24" s="74">
        <v>5</v>
      </c>
      <c r="J24" s="76">
        <f>I24/$F24</f>
        <v>0.7142857142857143</v>
      </c>
      <c r="K24" s="74">
        <v>2</v>
      </c>
      <c r="L24" s="76">
        <f>K24/$F24</f>
        <v>0.2857142857142857</v>
      </c>
      <c r="M24" s="77"/>
      <c r="N24" s="76">
        <f>M24/$F24</f>
        <v>0</v>
      </c>
      <c r="O24" s="78"/>
      <c r="P24" s="69"/>
      <c r="Q24" s="79"/>
      <c r="R24" s="69">
        <f>Q24/F24</f>
        <v>0</v>
      </c>
      <c r="S24" s="79"/>
      <c r="T24" s="69">
        <f>S24/F24</f>
        <v>0</v>
      </c>
      <c r="U24" s="78"/>
      <c r="V24" s="80">
        <f>U24/F24</f>
        <v>0</v>
      </c>
    </row>
    <row r="25" spans="1:22" s="97" customFormat="1" ht="68.25" customHeight="1" thickBot="1">
      <c r="A25" s="61">
        <v>193</v>
      </c>
      <c r="B25" s="95" t="s">
        <v>141</v>
      </c>
      <c r="C25" s="70" t="s">
        <v>60</v>
      </c>
      <c r="D25" s="95" t="s">
        <v>41</v>
      </c>
      <c r="E25" s="74">
        <v>13</v>
      </c>
      <c r="F25" s="75">
        <v>13</v>
      </c>
      <c r="G25" s="74">
        <v>4</v>
      </c>
      <c r="H25" s="76">
        <f>G25/$F25</f>
        <v>0.3076923076923077</v>
      </c>
      <c r="I25" s="74">
        <v>9</v>
      </c>
      <c r="J25" s="76">
        <f>I25/$F25</f>
        <v>0.6923076923076923</v>
      </c>
      <c r="K25" s="74"/>
      <c r="L25" s="76">
        <f>K25/$F25</f>
        <v>0</v>
      </c>
      <c r="M25" s="77"/>
      <c r="N25" s="76">
        <f>M25/$F25</f>
        <v>0</v>
      </c>
      <c r="O25" s="78"/>
      <c r="P25" s="69">
        <f>O25/F25</f>
        <v>0</v>
      </c>
      <c r="Q25" s="79"/>
      <c r="R25" s="69">
        <f>Q25/F25</f>
        <v>0</v>
      </c>
      <c r="S25" s="79"/>
      <c r="T25" s="69">
        <f>S25/F25</f>
        <v>0</v>
      </c>
      <c r="U25" s="78"/>
      <c r="V25" s="80">
        <f>U25/F25</f>
        <v>0</v>
      </c>
    </row>
    <row r="26" spans="1:22" s="97" customFormat="1" ht="27" customHeight="1" thickBot="1">
      <c r="A26" s="279" t="s">
        <v>42</v>
      </c>
      <c r="B26" s="219"/>
      <c r="C26" s="282" t="s">
        <v>60</v>
      </c>
      <c r="D26" s="283"/>
      <c r="E26" s="62">
        <f>SUM(E24+E25)</f>
        <v>20</v>
      </c>
      <c r="F26" s="62">
        <f>SUM(F24+F25)</f>
        <v>20</v>
      </c>
      <c r="G26" s="62">
        <f>SUM(G24+G25)</f>
        <v>4</v>
      </c>
      <c r="H26" s="33">
        <f>G26/$F26</f>
        <v>0.2</v>
      </c>
      <c r="I26" s="62">
        <f>SUM(I24+I25)</f>
        <v>14</v>
      </c>
      <c r="J26" s="33">
        <f>I26/$F26</f>
        <v>0.7</v>
      </c>
      <c r="K26" s="62">
        <f>SUM(K24+K25)</f>
        <v>2</v>
      </c>
      <c r="L26" s="33">
        <f>K26/$F26</f>
        <v>0.1</v>
      </c>
      <c r="M26" s="62">
        <f>SUM(M24+M25)</f>
        <v>0</v>
      </c>
      <c r="N26" s="33">
        <f>M26/$F26</f>
        <v>0</v>
      </c>
      <c r="O26" s="32">
        <f>SUM(O24+O25)</f>
        <v>0</v>
      </c>
      <c r="P26" s="33">
        <f>O26/F26</f>
        <v>0</v>
      </c>
      <c r="Q26" s="32">
        <f>SUM(Q24+Q25)</f>
        <v>0</v>
      </c>
      <c r="R26" s="33">
        <f>Q26/F26</f>
        <v>0</v>
      </c>
      <c r="S26" s="32">
        <f>SUM(S24+S25)</f>
        <v>0</v>
      </c>
      <c r="T26" s="33">
        <f>S26/F26</f>
        <v>0</v>
      </c>
      <c r="U26" s="32">
        <f>SUM(U24+U25)</f>
        <v>0</v>
      </c>
      <c r="V26" s="34">
        <f>U26/F26</f>
        <v>0</v>
      </c>
    </row>
    <row r="27" spans="1:22" s="97" customFormat="1" ht="24" customHeight="1" thickBot="1">
      <c r="A27" s="287" t="s">
        <v>94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9"/>
    </row>
    <row r="28" spans="1:22" s="97" customFormat="1" ht="78.75" customHeight="1" thickBot="1">
      <c r="A28" s="54">
        <v>274</v>
      </c>
      <c r="B28" s="71" t="s">
        <v>142</v>
      </c>
      <c r="C28" s="72" t="s">
        <v>60</v>
      </c>
      <c r="D28" s="71" t="s">
        <v>41</v>
      </c>
      <c r="E28" s="64">
        <v>10</v>
      </c>
      <c r="F28" s="12">
        <v>10</v>
      </c>
      <c r="G28" s="64">
        <v>1</v>
      </c>
      <c r="H28" s="22">
        <f>G28/$F28</f>
        <v>0.1</v>
      </c>
      <c r="I28" s="64">
        <v>5</v>
      </c>
      <c r="J28" s="22">
        <f>I28/$F28</f>
        <v>0.5</v>
      </c>
      <c r="K28" s="64">
        <v>4</v>
      </c>
      <c r="L28" s="22">
        <f>K28/$F28</f>
        <v>0.4</v>
      </c>
      <c r="M28" s="86"/>
      <c r="N28" s="22">
        <f>M28/$F28</f>
        <v>0</v>
      </c>
      <c r="O28" s="11"/>
      <c r="P28" s="33">
        <f>O28/F28</f>
        <v>0</v>
      </c>
      <c r="Q28" s="87"/>
      <c r="R28" s="33">
        <f>Q28/F28</f>
        <v>0</v>
      </c>
      <c r="S28" s="87"/>
      <c r="T28" s="33">
        <f>S28/F28</f>
        <v>0</v>
      </c>
      <c r="U28" s="11"/>
      <c r="V28" s="34">
        <f>U28/F28</f>
        <v>0</v>
      </c>
    </row>
    <row r="29" spans="1:22" s="97" customFormat="1" ht="78.75" customHeight="1" thickBot="1">
      <c r="A29" s="54" t="s">
        <v>164</v>
      </c>
      <c r="B29" s="71" t="s">
        <v>165</v>
      </c>
      <c r="C29" s="72" t="s">
        <v>14</v>
      </c>
      <c r="D29" s="71" t="s">
        <v>41</v>
      </c>
      <c r="E29" s="64">
        <v>2</v>
      </c>
      <c r="F29" s="12">
        <v>2</v>
      </c>
      <c r="G29" s="64"/>
      <c r="H29" s="22">
        <f>G29/$F29</f>
        <v>0</v>
      </c>
      <c r="I29" s="64"/>
      <c r="J29" s="22">
        <f>I29/$F29</f>
        <v>0</v>
      </c>
      <c r="K29" s="64">
        <v>2</v>
      </c>
      <c r="L29" s="22">
        <f>K29/$F29</f>
        <v>1</v>
      </c>
      <c r="M29" s="86"/>
      <c r="N29" s="22">
        <f>M29/$F29</f>
        <v>0</v>
      </c>
      <c r="O29" s="11"/>
      <c r="P29" s="33">
        <f>O29/F29</f>
        <v>0</v>
      </c>
      <c r="Q29" s="87"/>
      <c r="R29" s="33">
        <f>Q29/F29</f>
        <v>0</v>
      </c>
      <c r="S29" s="87"/>
      <c r="T29" s="33">
        <f>S29/F29</f>
        <v>0</v>
      </c>
      <c r="U29" s="11"/>
      <c r="V29" s="34">
        <f>U29/F29</f>
        <v>0</v>
      </c>
    </row>
    <row r="30" spans="1:22" s="97" customFormat="1" ht="31.5" customHeight="1" thickBot="1">
      <c r="A30" s="226" t="s">
        <v>42</v>
      </c>
      <c r="B30" s="227"/>
      <c r="C30" s="282" t="s">
        <v>60</v>
      </c>
      <c r="D30" s="283"/>
      <c r="E30" s="62">
        <f aca="true" t="shared" si="0" ref="E30:G31">SUM(E28)</f>
        <v>10</v>
      </c>
      <c r="F30" s="214">
        <f t="shared" si="0"/>
        <v>10</v>
      </c>
      <c r="G30" s="62">
        <f t="shared" si="0"/>
        <v>1</v>
      </c>
      <c r="H30" s="33">
        <f>G30/$F30</f>
        <v>0.1</v>
      </c>
      <c r="I30" s="62">
        <f>SUM(I28)</f>
        <v>5</v>
      </c>
      <c r="J30" s="33">
        <f>I30/$F30</f>
        <v>0.5</v>
      </c>
      <c r="K30" s="62">
        <f>SUM(K28)</f>
        <v>4</v>
      </c>
      <c r="L30" s="33">
        <f>K30/$F30</f>
        <v>0.4</v>
      </c>
      <c r="M30" s="143"/>
      <c r="N30" s="33"/>
      <c r="O30" s="11"/>
      <c r="P30" s="33"/>
      <c r="Q30" s="87"/>
      <c r="R30" s="33"/>
      <c r="S30" s="87"/>
      <c r="T30" s="33"/>
      <c r="U30" s="11"/>
      <c r="V30" s="34"/>
    </row>
    <row r="31" spans="1:22" s="97" customFormat="1" ht="27" customHeight="1" thickBot="1">
      <c r="A31" s="228"/>
      <c r="B31" s="229"/>
      <c r="C31" s="282" t="s">
        <v>14</v>
      </c>
      <c r="D31" s="283"/>
      <c r="E31" s="62">
        <f t="shared" si="0"/>
        <v>2</v>
      </c>
      <c r="F31" s="214">
        <f t="shared" si="0"/>
        <v>2</v>
      </c>
      <c r="G31" s="62">
        <f t="shared" si="0"/>
        <v>0</v>
      </c>
      <c r="H31" s="33">
        <f>G31/$F31</f>
        <v>0</v>
      </c>
      <c r="I31" s="62">
        <f>SUM(I29)</f>
        <v>0</v>
      </c>
      <c r="J31" s="33">
        <f>I31/$F31</f>
        <v>0</v>
      </c>
      <c r="K31" s="32">
        <f>SUM(K29)</f>
        <v>2</v>
      </c>
      <c r="L31" s="33">
        <f>K31/$F31</f>
        <v>1</v>
      </c>
      <c r="M31" s="62">
        <f>SUM(M28)</f>
        <v>0</v>
      </c>
      <c r="N31" s="33">
        <f>M31/$F31</f>
        <v>0</v>
      </c>
      <c r="O31" s="32">
        <f>SUM(O28)</f>
        <v>0</v>
      </c>
      <c r="P31" s="33">
        <f>O31/F31</f>
        <v>0</v>
      </c>
      <c r="Q31" s="32">
        <f>SUM(Q28)</f>
        <v>0</v>
      </c>
      <c r="R31" s="33">
        <f>Q31/F31</f>
        <v>0</v>
      </c>
      <c r="S31" s="32">
        <f>SUM(S28)</f>
        <v>0</v>
      </c>
      <c r="T31" s="33">
        <f>S31/F31</f>
        <v>0</v>
      </c>
      <c r="U31" s="32">
        <f>SUM(U28)</f>
        <v>0</v>
      </c>
      <c r="V31" s="34">
        <f>U31/F31</f>
        <v>0</v>
      </c>
    </row>
    <row r="32" spans="1:22" s="97" customFormat="1" ht="24" customHeight="1" thickBot="1">
      <c r="A32" s="287" t="s">
        <v>105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9"/>
    </row>
    <row r="33" spans="1:22" s="97" customFormat="1" ht="41.25" customHeight="1" thickBot="1">
      <c r="A33" s="169" t="s">
        <v>145</v>
      </c>
      <c r="B33" s="71" t="s">
        <v>146</v>
      </c>
      <c r="C33" s="72" t="s">
        <v>60</v>
      </c>
      <c r="D33" s="85" t="s">
        <v>41</v>
      </c>
      <c r="E33" s="64">
        <v>12</v>
      </c>
      <c r="F33" s="12">
        <v>12</v>
      </c>
      <c r="G33" s="64">
        <v>2</v>
      </c>
      <c r="H33" s="22">
        <f>G33/$F33</f>
        <v>0.16666666666666666</v>
      </c>
      <c r="I33" s="64">
        <v>7</v>
      </c>
      <c r="J33" s="22">
        <f>I33/$F33</f>
        <v>0.5833333333333334</v>
      </c>
      <c r="K33" s="64">
        <v>3</v>
      </c>
      <c r="L33" s="22">
        <f>K33/$F33</f>
        <v>0.25</v>
      </c>
      <c r="M33" s="86"/>
      <c r="N33" s="22">
        <f>M33/$F33</f>
        <v>0</v>
      </c>
      <c r="O33" s="11"/>
      <c r="P33" s="33">
        <f>O33/F33</f>
        <v>0</v>
      </c>
      <c r="Q33" s="87"/>
      <c r="R33" s="33">
        <f>Q33/F33</f>
        <v>0</v>
      </c>
      <c r="S33" s="87"/>
      <c r="T33" s="33">
        <f>S33/F33</f>
        <v>0</v>
      </c>
      <c r="U33" s="11"/>
      <c r="V33" s="34">
        <f>U33/F33</f>
        <v>0</v>
      </c>
    </row>
    <row r="34" spans="1:22" s="97" customFormat="1" ht="68.25" customHeight="1" thickBot="1">
      <c r="A34" s="169" t="s">
        <v>143</v>
      </c>
      <c r="B34" s="71" t="s">
        <v>144</v>
      </c>
      <c r="C34" s="72" t="s">
        <v>60</v>
      </c>
      <c r="D34" s="71" t="s">
        <v>41</v>
      </c>
      <c r="E34" s="64">
        <v>10</v>
      </c>
      <c r="F34" s="12">
        <v>10</v>
      </c>
      <c r="G34" s="64">
        <v>3</v>
      </c>
      <c r="H34" s="22">
        <f>G34/$F34</f>
        <v>0.3</v>
      </c>
      <c r="I34" s="64">
        <v>4</v>
      </c>
      <c r="J34" s="22">
        <f>I34/$F34</f>
        <v>0.4</v>
      </c>
      <c r="K34" s="64">
        <v>3</v>
      </c>
      <c r="L34" s="22">
        <f>K34/$F34</f>
        <v>0.3</v>
      </c>
      <c r="M34" s="86"/>
      <c r="N34" s="22">
        <f>M34/$F34</f>
        <v>0</v>
      </c>
      <c r="O34" s="11"/>
      <c r="P34" s="22">
        <f>O34/F34</f>
        <v>0</v>
      </c>
      <c r="Q34" s="87"/>
      <c r="R34" s="22">
        <f>Q34/F34</f>
        <v>0</v>
      </c>
      <c r="S34" s="87"/>
      <c r="T34" s="22">
        <f>S34/F34</f>
        <v>0</v>
      </c>
      <c r="U34" s="11"/>
      <c r="V34" s="101">
        <f>U34/F34</f>
        <v>0</v>
      </c>
    </row>
    <row r="35" spans="1:22" s="97" customFormat="1" ht="41.25" customHeight="1" thickBot="1">
      <c r="A35" s="54">
        <v>242</v>
      </c>
      <c r="B35" s="71" t="s">
        <v>147</v>
      </c>
      <c r="C35" s="72" t="s">
        <v>60</v>
      </c>
      <c r="D35" s="71" t="s">
        <v>41</v>
      </c>
      <c r="E35" s="64">
        <v>5</v>
      </c>
      <c r="F35" s="12">
        <v>5</v>
      </c>
      <c r="G35" s="64"/>
      <c r="H35" s="22">
        <f>G35/$F35</f>
        <v>0</v>
      </c>
      <c r="I35" s="64"/>
      <c r="J35" s="22"/>
      <c r="K35" s="64">
        <v>5</v>
      </c>
      <c r="L35" s="22">
        <f>K35/$F35</f>
        <v>1</v>
      </c>
      <c r="M35" s="86"/>
      <c r="N35" s="22">
        <f>M35/$F35</f>
        <v>0</v>
      </c>
      <c r="O35" s="11"/>
      <c r="P35" s="33">
        <f>O35/F35</f>
        <v>0</v>
      </c>
      <c r="Q35" s="87"/>
      <c r="R35" s="33">
        <f>Q35/F35</f>
        <v>0</v>
      </c>
      <c r="S35" s="87"/>
      <c r="T35" s="33">
        <f>S35/F35</f>
        <v>0</v>
      </c>
      <c r="U35" s="11"/>
      <c r="V35" s="34">
        <f>U35/F35</f>
        <v>0</v>
      </c>
    </row>
    <row r="36" spans="1:22" s="97" customFormat="1" ht="27" customHeight="1" thickBot="1">
      <c r="A36" s="279" t="s">
        <v>42</v>
      </c>
      <c r="B36" s="219"/>
      <c r="C36" s="280" t="s">
        <v>60</v>
      </c>
      <c r="D36" s="281"/>
      <c r="E36" s="134">
        <f>SUM(E33+E34+E35)</f>
        <v>27</v>
      </c>
      <c r="F36" s="134">
        <f>SUM(F33+F34+F35)</f>
        <v>27</v>
      </c>
      <c r="G36" s="134">
        <f>SUM(G33+G34+G35)</f>
        <v>5</v>
      </c>
      <c r="H36" s="83">
        <f>G36/$F36</f>
        <v>0.18518518518518517</v>
      </c>
      <c r="I36" s="134">
        <f>SUM(I33+I34+I35)</f>
        <v>11</v>
      </c>
      <c r="J36" s="83">
        <f>I36/$F36</f>
        <v>0.4074074074074074</v>
      </c>
      <c r="K36" s="134">
        <f>SUM(K33+K34+K35)</f>
        <v>11</v>
      </c>
      <c r="L36" s="33">
        <f>K36/$F36</f>
        <v>0.4074074074074074</v>
      </c>
      <c r="M36" s="134">
        <f>SUM(M33+M34+M35)</f>
        <v>0</v>
      </c>
      <c r="N36" s="83">
        <f>M36/$F36</f>
        <v>0</v>
      </c>
      <c r="O36" s="135">
        <f>SUM(O33+O34+O35)</f>
        <v>0</v>
      </c>
      <c r="P36" s="83">
        <f>O36/F36</f>
        <v>0</v>
      </c>
      <c r="Q36" s="135">
        <f>SUM(Q33+Q34+Q35)</f>
        <v>0</v>
      </c>
      <c r="R36" s="83">
        <f>Q36/F36</f>
        <v>0</v>
      </c>
      <c r="S36" s="135">
        <f>SUM(S33+S34+S35)</f>
        <v>0</v>
      </c>
      <c r="T36" s="83">
        <f>S36/F36</f>
        <v>0</v>
      </c>
      <c r="U36" s="135">
        <f>SUM(U33+U34+U35)</f>
        <v>0</v>
      </c>
      <c r="V36" s="84">
        <f>U36/F36</f>
        <v>0</v>
      </c>
    </row>
    <row r="37" spans="1:22" s="213" customFormat="1" ht="24.75" customHeight="1" thickBot="1">
      <c r="A37" s="284" t="s">
        <v>54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6"/>
    </row>
    <row r="38" spans="1:22" ht="65.25" customHeight="1" thickBot="1">
      <c r="A38" s="173" t="s">
        <v>143</v>
      </c>
      <c r="B38" s="60" t="s">
        <v>149</v>
      </c>
      <c r="C38" s="81" t="s">
        <v>60</v>
      </c>
      <c r="D38" s="60" t="s">
        <v>41</v>
      </c>
      <c r="E38" s="67">
        <v>8</v>
      </c>
      <c r="F38" s="82">
        <v>8</v>
      </c>
      <c r="G38" s="67">
        <v>3</v>
      </c>
      <c r="H38" s="68">
        <f aca="true" t="shared" si="1" ref="H38:H43">G38/$F38</f>
        <v>0.375</v>
      </c>
      <c r="I38" s="67">
        <v>3</v>
      </c>
      <c r="J38" s="68">
        <f aca="true" t="shared" si="2" ref="J38:J43">I38/$F38</f>
        <v>0.375</v>
      </c>
      <c r="K38" s="67">
        <v>2</v>
      </c>
      <c r="L38" s="68">
        <f aca="true" t="shared" si="3" ref="L38:L43">K38/$F38</f>
        <v>0.25</v>
      </c>
      <c r="M38" s="88">
        <v>3</v>
      </c>
      <c r="N38" s="68">
        <f aca="true" t="shared" si="4" ref="N38:N43">M38/$F38</f>
        <v>0.375</v>
      </c>
      <c r="O38" s="42"/>
      <c r="P38" s="83">
        <f>O38/F38</f>
        <v>0</v>
      </c>
      <c r="Q38" s="89"/>
      <c r="R38" s="83">
        <f>Q38/F38</f>
        <v>0</v>
      </c>
      <c r="S38" s="89"/>
      <c r="T38" s="83">
        <f>S38/F38</f>
        <v>0</v>
      </c>
      <c r="U38" s="42"/>
      <c r="V38" s="98">
        <f>U38/F38</f>
        <v>0</v>
      </c>
    </row>
    <row r="39" spans="1:22" ht="51.75" customHeight="1" thickBot="1">
      <c r="A39" s="173" t="s">
        <v>143</v>
      </c>
      <c r="B39" s="60" t="s">
        <v>150</v>
      </c>
      <c r="C39" s="72" t="s">
        <v>60</v>
      </c>
      <c r="D39" s="71" t="s">
        <v>41</v>
      </c>
      <c r="E39" s="64">
        <v>9</v>
      </c>
      <c r="F39" s="12">
        <v>9</v>
      </c>
      <c r="G39" s="64">
        <v>6</v>
      </c>
      <c r="H39" s="22">
        <f t="shared" si="1"/>
        <v>0.6666666666666666</v>
      </c>
      <c r="I39" s="64">
        <v>3</v>
      </c>
      <c r="J39" s="22">
        <f t="shared" si="2"/>
        <v>0.3333333333333333</v>
      </c>
      <c r="K39" s="64"/>
      <c r="L39" s="22">
        <f t="shared" si="3"/>
        <v>0</v>
      </c>
      <c r="M39" s="86">
        <v>3</v>
      </c>
      <c r="N39" s="22">
        <f t="shared" si="4"/>
        <v>0.3333333333333333</v>
      </c>
      <c r="O39" s="11"/>
      <c r="P39" s="33">
        <f>O39/F39</f>
        <v>0</v>
      </c>
      <c r="Q39" s="87"/>
      <c r="R39" s="33">
        <f>Q39/F39</f>
        <v>0</v>
      </c>
      <c r="S39" s="87"/>
      <c r="T39" s="33">
        <f>S39/F39</f>
        <v>0</v>
      </c>
      <c r="U39" s="11"/>
      <c r="V39" s="101">
        <f>U39/F39</f>
        <v>0</v>
      </c>
    </row>
    <row r="40" spans="1:22" s="19" customFormat="1" ht="25.5" customHeight="1" thickBot="1">
      <c r="A40" s="279" t="s">
        <v>42</v>
      </c>
      <c r="B40" s="219"/>
      <c r="C40" s="282" t="s">
        <v>60</v>
      </c>
      <c r="D40" s="283"/>
      <c r="E40" s="146">
        <f>SUM(E38+E39)</f>
        <v>17</v>
      </c>
      <c r="F40" s="146">
        <f>SUM(F38+F39)</f>
        <v>17</v>
      </c>
      <c r="G40" s="146">
        <f>SUM(G38+G39)</f>
        <v>9</v>
      </c>
      <c r="H40" s="33">
        <f t="shared" si="1"/>
        <v>0.5294117647058824</v>
      </c>
      <c r="I40" s="32">
        <f>SUM(I38+I39)</f>
        <v>6</v>
      </c>
      <c r="J40" s="33">
        <f t="shared" si="2"/>
        <v>0.35294117647058826</v>
      </c>
      <c r="K40" s="32">
        <f>SUM(K38+K39)</f>
        <v>2</v>
      </c>
      <c r="L40" s="33">
        <f t="shared" si="3"/>
        <v>0.11764705882352941</v>
      </c>
      <c r="M40" s="32">
        <f>SUM(M38+M39)</f>
        <v>6</v>
      </c>
      <c r="N40" s="33">
        <f t="shared" si="4"/>
        <v>0.35294117647058826</v>
      </c>
      <c r="O40" s="32">
        <f>SUM(O38+O39)</f>
        <v>0</v>
      </c>
      <c r="P40" s="33">
        <f>O40/$F40</f>
        <v>0</v>
      </c>
      <c r="Q40" s="32">
        <f>SUM(Q38+Q39)</f>
        <v>0</v>
      </c>
      <c r="R40" s="33">
        <f>Q40/$F40</f>
        <v>0</v>
      </c>
      <c r="S40" s="32">
        <f>SUM(S38+S39)</f>
        <v>0</v>
      </c>
      <c r="T40" s="33">
        <f>S40/$F40</f>
        <v>0</v>
      </c>
      <c r="U40" s="32">
        <f>SUM(U38+U39)</f>
        <v>0</v>
      </c>
      <c r="V40" s="34">
        <f>U40/$F40</f>
        <v>0</v>
      </c>
    </row>
    <row r="41" spans="1:22" s="97" customFormat="1" ht="21" customHeight="1" thickBot="1">
      <c r="A41" s="248" t="s">
        <v>43</v>
      </c>
      <c r="B41" s="249"/>
      <c r="C41" s="218" t="s">
        <v>60</v>
      </c>
      <c r="D41" s="219"/>
      <c r="E41" s="62">
        <f>SUM(E11+E14+E18+E26+E30+E36+E40)</f>
        <v>141</v>
      </c>
      <c r="F41" s="214">
        <f>SUM(F11+F14+F18+F26+F30+F36+F40)</f>
        <v>141</v>
      </c>
      <c r="G41" s="62">
        <f>SUM(G11+G14+G18+G26+G30+G36+G40)</f>
        <v>38</v>
      </c>
      <c r="H41" s="33">
        <f t="shared" si="1"/>
        <v>0.2695035460992908</v>
      </c>
      <c r="I41" s="32">
        <f>SUM(I11+I14+I18+I26+I30+I36+I40)</f>
        <v>55</v>
      </c>
      <c r="J41" s="33">
        <f t="shared" si="2"/>
        <v>0.3900709219858156</v>
      </c>
      <c r="K41" s="32">
        <f>SUM(K11+K14+K18+K26+K30+K36+K40)</f>
        <v>48</v>
      </c>
      <c r="L41" s="33">
        <f t="shared" si="3"/>
        <v>0.3404255319148936</v>
      </c>
      <c r="M41" s="32">
        <f>SUM(M11+M14+M18+M26+M30+M36+M40)</f>
        <v>8</v>
      </c>
      <c r="N41" s="33">
        <f t="shared" si="4"/>
        <v>0.05673758865248227</v>
      </c>
      <c r="O41" s="32">
        <f>SUM(O11+O14+O18+O26+O31+O36+O40)</f>
        <v>0</v>
      </c>
      <c r="P41" s="33">
        <f>O41/F41</f>
        <v>0</v>
      </c>
      <c r="Q41" s="32">
        <f>SUM(Q11+Q14+Q18+Q26+Q30+Q36+Q40)</f>
        <v>13</v>
      </c>
      <c r="R41" s="33">
        <f>Q41/F41</f>
        <v>0.09219858156028368</v>
      </c>
      <c r="S41" s="32">
        <f>SUM(S11+S14+S18+S26+S31+S36+S40)</f>
        <v>0</v>
      </c>
      <c r="T41" s="33">
        <f>S41/F41</f>
        <v>0</v>
      </c>
      <c r="U41" s="32">
        <f>SUM(U11+U14+U18+U26+U31+U36+U40)</f>
        <v>0</v>
      </c>
      <c r="V41" s="34">
        <f>U41/F41</f>
        <v>0</v>
      </c>
    </row>
    <row r="42" spans="1:23" s="157" customFormat="1" ht="23.25" customHeight="1" thickBot="1">
      <c r="A42" s="250"/>
      <c r="B42" s="251"/>
      <c r="C42" s="294" t="s">
        <v>14</v>
      </c>
      <c r="D42" s="295"/>
      <c r="E42" s="155">
        <f>SUM(E19+E22+E31)</f>
        <v>97</v>
      </c>
      <c r="F42" s="155">
        <f>SUM(F19+F22+F31)</f>
        <v>96</v>
      </c>
      <c r="G42" s="155">
        <f>SUM(G19+G22+G31)</f>
        <v>12</v>
      </c>
      <c r="H42" s="149">
        <f t="shared" si="1"/>
        <v>0.125</v>
      </c>
      <c r="I42" s="155">
        <f>SUM(I19+I22+I31)</f>
        <v>35</v>
      </c>
      <c r="J42" s="149">
        <f t="shared" si="2"/>
        <v>0.3645833333333333</v>
      </c>
      <c r="K42" s="155">
        <f>SUM(K19+K22+K31)</f>
        <v>49</v>
      </c>
      <c r="L42" s="149">
        <f t="shared" si="3"/>
        <v>0.5104166666666666</v>
      </c>
      <c r="M42" s="155">
        <f>SUM(M19+M22+M31)</f>
        <v>5</v>
      </c>
      <c r="N42" s="149">
        <f t="shared" si="4"/>
        <v>0.052083333333333336</v>
      </c>
      <c r="O42" s="155">
        <f>SUM(O19+O22)</f>
        <v>0</v>
      </c>
      <c r="P42" s="149">
        <f>O42/F42</f>
        <v>0</v>
      </c>
      <c r="Q42" s="155">
        <f>SUM(Q19+Q22)</f>
        <v>0</v>
      </c>
      <c r="R42" s="149">
        <f>Q42/F42</f>
        <v>0</v>
      </c>
      <c r="S42" s="155">
        <f>SUM(S19+S22)</f>
        <v>0</v>
      </c>
      <c r="T42" s="149">
        <f>S42/F42</f>
        <v>0</v>
      </c>
      <c r="U42" s="155">
        <f>SUM(U19+U22)</f>
        <v>0</v>
      </c>
      <c r="V42" s="150">
        <f>U42/F42</f>
        <v>0</v>
      </c>
      <c r="W42" s="156"/>
    </row>
    <row r="43" spans="1:23" s="157" customFormat="1" ht="23.25" customHeight="1" thickBot="1">
      <c r="A43" s="252"/>
      <c r="B43" s="253"/>
      <c r="C43" s="294" t="s">
        <v>15</v>
      </c>
      <c r="D43" s="295"/>
      <c r="E43" s="148">
        <f>SUM(E41+E42)</f>
        <v>238</v>
      </c>
      <c r="F43" s="148">
        <f>SUM(F41+F42)</f>
        <v>237</v>
      </c>
      <c r="G43" s="148">
        <f>SUM(G41+G42)</f>
        <v>50</v>
      </c>
      <c r="H43" s="149">
        <f t="shared" si="1"/>
        <v>0.2109704641350211</v>
      </c>
      <c r="I43" s="148">
        <f>SUM(I41+I42)</f>
        <v>90</v>
      </c>
      <c r="J43" s="149">
        <f t="shared" si="2"/>
        <v>0.379746835443038</v>
      </c>
      <c r="K43" s="148">
        <f>SUM(K41+K42)</f>
        <v>97</v>
      </c>
      <c r="L43" s="149">
        <f t="shared" si="3"/>
        <v>0.4092827004219409</v>
      </c>
      <c r="M43" s="148">
        <f>SUM(M41+M42)</f>
        <v>13</v>
      </c>
      <c r="N43" s="149">
        <f t="shared" si="4"/>
        <v>0.05485232067510549</v>
      </c>
      <c r="O43" s="148">
        <f>SUM(O41+O42)</f>
        <v>0</v>
      </c>
      <c r="P43" s="149">
        <f>O43/F43</f>
        <v>0</v>
      </c>
      <c r="Q43" s="148">
        <f>SUM(Q41+Q42)</f>
        <v>13</v>
      </c>
      <c r="R43" s="149">
        <f>Q43/F43</f>
        <v>0.05485232067510549</v>
      </c>
      <c r="S43" s="148">
        <f>SUM(S41+S42)</f>
        <v>0</v>
      </c>
      <c r="T43" s="149">
        <f>S43/F43</f>
        <v>0</v>
      </c>
      <c r="U43" s="148">
        <f>SUM(U41+U42)</f>
        <v>0</v>
      </c>
      <c r="V43" s="150">
        <f>U43/F43</f>
        <v>0</v>
      </c>
      <c r="W43" s="156"/>
    </row>
    <row r="44" spans="1:22" s="6" customFormat="1" ht="19.5" customHeight="1">
      <c r="A44" s="257" t="s">
        <v>158</v>
      </c>
      <c r="B44" s="305"/>
      <c r="C44" s="37"/>
      <c r="D44" s="37"/>
      <c r="E44" s="37"/>
      <c r="F44" s="37"/>
      <c r="G44" s="158"/>
      <c r="H44" s="159"/>
      <c r="I44" s="37"/>
      <c r="J44" s="159"/>
      <c r="K44" s="160"/>
      <c r="L44" s="159"/>
      <c r="M44" s="161"/>
      <c r="N44" s="162"/>
      <c r="O44" s="163"/>
      <c r="P44" s="159"/>
      <c r="Q44" s="163"/>
      <c r="R44" s="159"/>
      <c r="S44" s="164"/>
      <c r="T44" s="159"/>
      <c r="U44" s="163"/>
      <c r="V44" s="159"/>
    </row>
    <row r="45" spans="1:22" s="6" customFormat="1" ht="19.5" customHeight="1">
      <c r="A45" s="151"/>
      <c r="B45" s="38"/>
      <c r="C45" s="37"/>
      <c r="D45" s="37"/>
      <c r="E45" s="37"/>
      <c r="F45" s="37"/>
      <c r="G45" s="158"/>
      <c r="H45" s="159"/>
      <c r="I45" s="37"/>
      <c r="J45" s="159"/>
      <c r="K45" s="160"/>
      <c r="L45" s="159"/>
      <c r="M45" s="161"/>
      <c r="N45" s="162"/>
      <c r="O45" s="163"/>
      <c r="P45" s="159"/>
      <c r="Q45" s="163"/>
      <c r="R45" s="159"/>
      <c r="S45" s="164"/>
      <c r="T45" s="159"/>
      <c r="U45" s="163"/>
      <c r="V45" s="159"/>
    </row>
    <row r="46" spans="1:22" s="6" customFormat="1" ht="19.5" customHeight="1">
      <c r="A46" s="151"/>
      <c r="B46" s="38"/>
      <c r="C46" s="37"/>
      <c r="D46" s="37"/>
      <c r="E46" s="37"/>
      <c r="F46" s="37"/>
      <c r="G46" s="158"/>
      <c r="H46" s="159"/>
      <c r="I46" s="37"/>
      <c r="J46" s="159"/>
      <c r="K46" s="160"/>
      <c r="L46" s="159"/>
      <c r="M46" s="161"/>
      <c r="N46" s="162"/>
      <c r="O46" s="163"/>
      <c r="P46" s="159"/>
      <c r="Q46" s="163"/>
      <c r="R46" s="159"/>
      <c r="S46" s="164"/>
      <c r="T46" s="159"/>
      <c r="U46" s="163"/>
      <c r="V46" s="159"/>
    </row>
    <row r="47" spans="1:22" s="6" customFormat="1" ht="18.75" customHeight="1">
      <c r="A47" s="151"/>
      <c r="B47" s="38"/>
      <c r="C47" s="37"/>
      <c r="D47" s="37"/>
      <c r="E47" s="37"/>
      <c r="F47" s="37"/>
      <c r="G47" s="158"/>
      <c r="H47" s="159"/>
      <c r="I47" s="37"/>
      <c r="J47" s="159"/>
      <c r="K47" s="160"/>
      <c r="L47" s="159"/>
      <c r="M47" s="161"/>
      <c r="N47" s="162"/>
      <c r="O47" s="163"/>
      <c r="P47" s="159"/>
      <c r="Q47" s="163"/>
      <c r="R47" s="159"/>
      <c r="S47" s="164"/>
      <c r="T47" s="159"/>
      <c r="U47" s="163"/>
      <c r="V47" s="159"/>
    </row>
    <row r="48" spans="1:22" ht="18">
      <c r="A48" s="306" t="s">
        <v>32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</row>
    <row r="49" spans="1:22" ht="18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</row>
    <row r="50" spans="1:22" ht="18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</row>
    <row r="51" spans="1:22" ht="18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</row>
    <row r="52" spans="1:22" ht="18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</row>
    <row r="53" spans="1:22" ht="18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</row>
    <row r="54" spans="1:22" ht="18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</row>
    <row r="55" spans="1:22" ht="18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</row>
    <row r="56" spans="1:22" ht="18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</row>
    <row r="57" spans="1:22" ht="18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</row>
    <row r="58" spans="1:22" ht="18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</row>
    <row r="59" spans="1:22" ht="18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</row>
    <row r="60" spans="1:22" ht="18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</row>
    <row r="61" spans="1:22" ht="18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</row>
    <row r="62" spans="1:22" ht="18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</row>
    <row r="63" spans="1:22" ht="18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</row>
    <row r="64" spans="1:22" ht="18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</row>
    <row r="65" spans="1:22" ht="16.5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</row>
    <row r="66" ht="12.75">
      <c r="A66" s="4" t="s">
        <v>34</v>
      </c>
    </row>
    <row r="67" ht="12.75">
      <c r="A67" s="4" t="s">
        <v>37</v>
      </c>
    </row>
    <row r="68" ht="12.75">
      <c r="A68" s="4" t="s">
        <v>35</v>
      </c>
    </row>
    <row r="70" spans="1:21" s="52" customFormat="1" ht="12.75">
      <c r="A70" s="110"/>
      <c r="C70" s="111"/>
      <c r="D70" s="111"/>
      <c r="O70" s="112"/>
      <c r="Q70" s="112"/>
      <c r="S70" s="112"/>
      <c r="U70" s="112"/>
    </row>
    <row r="71" spans="1:21" s="52" customFormat="1" ht="12.75">
      <c r="A71" s="110"/>
      <c r="C71" s="111"/>
      <c r="D71" s="111"/>
      <c r="O71" s="112"/>
      <c r="Q71" s="112"/>
      <c r="S71" s="112"/>
      <c r="U71" s="112"/>
    </row>
    <row r="72" spans="1:23" s="52" customFormat="1" ht="22.5">
      <c r="A72" s="109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113"/>
      <c r="P72" s="53"/>
      <c r="Q72" s="113"/>
      <c r="R72" s="53"/>
      <c r="S72" s="113"/>
      <c r="T72" s="53"/>
      <c r="U72" s="113"/>
      <c r="V72" s="53"/>
      <c r="W72" s="53"/>
    </row>
    <row r="73" spans="1:23" s="52" customFormat="1" ht="24.75">
      <c r="A73" s="109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113"/>
      <c r="P73" s="53"/>
      <c r="Q73" s="113"/>
      <c r="R73" s="53"/>
      <c r="S73" s="113"/>
      <c r="T73" s="53"/>
      <c r="U73" s="113"/>
      <c r="V73" s="53"/>
      <c r="W73" s="53"/>
    </row>
    <row r="74" spans="1:23" s="52" customFormat="1" ht="24.75">
      <c r="A74" s="109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113"/>
      <c r="P74" s="53"/>
      <c r="Q74" s="113"/>
      <c r="R74" s="53"/>
      <c r="S74" s="113"/>
      <c r="T74" s="53"/>
      <c r="U74" s="113"/>
      <c r="V74" s="53"/>
      <c r="W74" s="53"/>
    </row>
    <row r="75" spans="1:23" s="52" customFormat="1" ht="24.75">
      <c r="A75" s="109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113"/>
      <c r="P75" s="53"/>
      <c r="Q75" s="113"/>
      <c r="R75" s="53"/>
      <c r="S75" s="113"/>
      <c r="T75" s="53"/>
      <c r="U75" s="113"/>
      <c r="V75" s="53"/>
      <c r="W75" s="53"/>
    </row>
    <row r="76" spans="1:23" s="52" customFormat="1" ht="12.75" customHeight="1">
      <c r="A76" s="290"/>
      <c r="B76" s="302"/>
      <c r="C76" s="302"/>
      <c r="D76" s="114"/>
      <c r="E76" s="302"/>
      <c r="F76" s="302"/>
      <c r="G76" s="299"/>
      <c r="H76" s="299"/>
      <c r="I76" s="299"/>
      <c r="J76" s="299"/>
      <c r="K76" s="299"/>
      <c r="L76" s="299"/>
      <c r="M76" s="114"/>
      <c r="N76" s="114"/>
      <c r="O76" s="302"/>
      <c r="P76" s="302"/>
      <c r="Q76" s="113"/>
      <c r="R76" s="53"/>
      <c r="S76" s="113"/>
      <c r="T76" s="53"/>
      <c r="U76" s="113"/>
      <c r="V76" s="53"/>
      <c r="W76" s="53"/>
    </row>
    <row r="77" spans="1:23" s="52" customFormat="1" ht="12.75" customHeight="1">
      <c r="A77" s="290"/>
      <c r="B77" s="302"/>
      <c r="C77" s="302"/>
      <c r="D77" s="114"/>
      <c r="E77" s="302"/>
      <c r="F77" s="302"/>
      <c r="G77" s="303"/>
      <c r="H77" s="303"/>
      <c r="I77" s="303"/>
      <c r="J77" s="303"/>
      <c r="K77" s="303"/>
      <c r="L77" s="303"/>
      <c r="M77" s="114"/>
      <c r="N77" s="114"/>
      <c r="O77" s="302"/>
      <c r="P77" s="302"/>
      <c r="Q77" s="113"/>
      <c r="R77" s="53"/>
      <c r="S77" s="113"/>
      <c r="T77" s="53"/>
      <c r="U77" s="113"/>
      <c r="V77" s="53"/>
      <c r="W77" s="53"/>
    </row>
    <row r="78" spans="1:23" s="52" customFormat="1" ht="34.5" customHeight="1">
      <c r="A78" s="290"/>
      <c r="B78" s="302"/>
      <c r="C78" s="302"/>
      <c r="D78" s="114"/>
      <c r="E78" s="302"/>
      <c r="F78" s="302"/>
      <c r="G78" s="303"/>
      <c r="H78" s="303"/>
      <c r="I78" s="303"/>
      <c r="J78" s="303"/>
      <c r="K78" s="303"/>
      <c r="L78" s="303"/>
      <c r="M78" s="114"/>
      <c r="N78" s="114"/>
      <c r="O78" s="302"/>
      <c r="P78" s="302"/>
      <c r="Q78" s="113"/>
      <c r="R78" s="53"/>
      <c r="S78" s="113"/>
      <c r="T78" s="53"/>
      <c r="U78" s="113"/>
      <c r="V78" s="53"/>
      <c r="W78" s="53"/>
    </row>
    <row r="79" spans="1:23" s="52" customFormat="1" ht="12.75">
      <c r="A79" s="290"/>
      <c r="B79" s="302"/>
      <c r="C79" s="302"/>
      <c r="D79" s="114"/>
      <c r="E79" s="302"/>
      <c r="F79" s="302"/>
      <c r="G79" s="102"/>
      <c r="H79" s="102"/>
      <c r="I79" s="102"/>
      <c r="J79" s="102"/>
      <c r="K79" s="102"/>
      <c r="L79" s="102"/>
      <c r="M79" s="102"/>
      <c r="N79" s="102"/>
      <c r="O79" s="108"/>
      <c r="P79" s="102"/>
      <c r="Q79" s="113"/>
      <c r="R79" s="53"/>
      <c r="S79" s="113"/>
      <c r="T79" s="53"/>
      <c r="U79" s="113"/>
      <c r="V79" s="53"/>
      <c r="W79" s="53"/>
    </row>
    <row r="80" spans="1:23" s="52" customFormat="1" ht="12.75">
      <c r="A80" s="109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15"/>
      <c r="P80" s="116"/>
      <c r="Q80" s="113"/>
      <c r="R80" s="53"/>
      <c r="S80" s="113"/>
      <c r="T80" s="53"/>
      <c r="U80" s="113"/>
      <c r="V80" s="53"/>
      <c r="W80" s="53"/>
    </row>
    <row r="81" spans="1:23" s="52" customFormat="1" ht="12.75">
      <c r="A81" s="109"/>
      <c r="B81" s="292"/>
      <c r="C81" s="292"/>
      <c r="D81" s="117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113"/>
      <c r="P81" s="53"/>
      <c r="Q81" s="113"/>
      <c r="R81" s="53"/>
      <c r="S81" s="113"/>
      <c r="T81" s="53"/>
      <c r="U81" s="113"/>
      <c r="V81" s="53"/>
      <c r="W81" s="53"/>
    </row>
    <row r="82" spans="1:23" s="52" customFormat="1" ht="12.75">
      <c r="A82" s="109"/>
      <c r="B82" s="117"/>
      <c r="C82" s="102"/>
      <c r="D82" s="102"/>
      <c r="E82" s="102"/>
      <c r="F82" s="102"/>
      <c r="G82" s="102"/>
      <c r="H82" s="104"/>
      <c r="I82" s="102"/>
      <c r="J82" s="104"/>
      <c r="K82" s="105"/>
      <c r="L82" s="104"/>
      <c r="M82" s="104"/>
      <c r="N82" s="104"/>
      <c r="O82" s="118"/>
      <c r="P82" s="119"/>
      <c r="Q82" s="113"/>
      <c r="R82" s="53"/>
      <c r="S82" s="113"/>
      <c r="T82" s="53"/>
      <c r="U82" s="113"/>
      <c r="V82" s="53"/>
      <c r="W82" s="53"/>
    </row>
    <row r="83" spans="1:23" s="52" customFormat="1" ht="12.75">
      <c r="A83" s="109"/>
      <c r="B83" s="117"/>
      <c r="C83" s="102"/>
      <c r="D83" s="102"/>
      <c r="E83" s="102"/>
      <c r="F83" s="102"/>
      <c r="G83" s="102"/>
      <c r="H83" s="104"/>
      <c r="I83" s="102"/>
      <c r="J83" s="104"/>
      <c r="K83" s="102"/>
      <c r="L83" s="104"/>
      <c r="M83" s="104"/>
      <c r="N83" s="104"/>
      <c r="O83" s="118"/>
      <c r="P83" s="119"/>
      <c r="Q83" s="113"/>
      <c r="R83" s="53"/>
      <c r="S83" s="113"/>
      <c r="T83" s="53"/>
      <c r="U83" s="113"/>
      <c r="V83" s="53"/>
      <c r="W83" s="53"/>
    </row>
    <row r="84" spans="1:23" s="52" customFormat="1" ht="12.75">
      <c r="A84" s="109"/>
      <c r="B84" s="117"/>
      <c r="C84" s="102"/>
      <c r="D84" s="102"/>
      <c r="E84" s="102"/>
      <c r="F84" s="102"/>
      <c r="G84" s="102"/>
      <c r="H84" s="104"/>
      <c r="I84" s="102"/>
      <c r="J84" s="104"/>
      <c r="K84" s="102"/>
      <c r="L84" s="104"/>
      <c r="M84" s="104"/>
      <c r="N84" s="104"/>
      <c r="O84" s="118"/>
      <c r="P84" s="119"/>
      <c r="Q84" s="113"/>
      <c r="R84" s="53"/>
      <c r="S84" s="113"/>
      <c r="T84" s="53"/>
      <c r="U84" s="113"/>
      <c r="V84" s="53"/>
      <c r="W84" s="53"/>
    </row>
    <row r="85" spans="1:23" s="52" customFormat="1" ht="12.75">
      <c r="A85" s="109"/>
      <c r="B85" s="292"/>
      <c r="C85" s="292"/>
      <c r="D85" s="117"/>
      <c r="E85" s="53"/>
      <c r="F85" s="53"/>
      <c r="G85" s="53"/>
      <c r="H85" s="104"/>
      <c r="I85" s="53"/>
      <c r="J85" s="104"/>
      <c r="K85" s="53"/>
      <c r="L85" s="53"/>
      <c r="M85" s="53"/>
      <c r="N85" s="53"/>
      <c r="O85" s="118"/>
      <c r="P85" s="119"/>
      <c r="Q85" s="113"/>
      <c r="R85" s="53"/>
      <c r="S85" s="113"/>
      <c r="T85" s="53"/>
      <c r="U85" s="113"/>
      <c r="V85" s="53"/>
      <c r="W85" s="53"/>
    </row>
    <row r="86" spans="1:23" s="52" customFormat="1" ht="12.75">
      <c r="A86" s="109"/>
      <c r="B86" s="117"/>
      <c r="C86" s="102"/>
      <c r="D86" s="102"/>
      <c r="E86" s="102"/>
      <c r="F86" s="102"/>
      <c r="G86" s="102"/>
      <c r="H86" s="104"/>
      <c r="I86" s="102"/>
      <c r="J86" s="104"/>
      <c r="K86" s="102"/>
      <c r="L86" s="104"/>
      <c r="M86" s="104"/>
      <c r="N86" s="104"/>
      <c r="O86" s="118"/>
      <c r="P86" s="119"/>
      <c r="Q86" s="113"/>
      <c r="R86" s="53"/>
      <c r="S86" s="113"/>
      <c r="T86" s="53"/>
      <c r="U86" s="113"/>
      <c r="V86" s="53"/>
      <c r="W86" s="53"/>
    </row>
    <row r="87" spans="1:23" s="52" customFormat="1" ht="12.75">
      <c r="A87" s="109"/>
      <c r="B87" s="117"/>
      <c r="C87" s="102"/>
      <c r="D87" s="102"/>
      <c r="E87" s="102"/>
      <c r="F87" s="102"/>
      <c r="G87" s="102"/>
      <c r="H87" s="104"/>
      <c r="I87" s="102"/>
      <c r="J87" s="104"/>
      <c r="K87" s="102"/>
      <c r="L87" s="104"/>
      <c r="M87" s="104"/>
      <c r="N87" s="104"/>
      <c r="O87" s="118"/>
      <c r="P87" s="120"/>
      <c r="Q87" s="113"/>
      <c r="R87" s="53"/>
      <c r="S87" s="113"/>
      <c r="T87" s="53"/>
      <c r="U87" s="113"/>
      <c r="V87" s="53"/>
      <c r="W87" s="53"/>
    </row>
    <row r="88" spans="1:23" s="52" customFormat="1" ht="12.75">
      <c r="A88" s="109"/>
      <c r="B88" s="117"/>
      <c r="C88" s="102"/>
      <c r="D88" s="102"/>
      <c r="E88" s="102"/>
      <c r="F88" s="102"/>
      <c r="G88" s="102"/>
      <c r="H88" s="104"/>
      <c r="I88" s="102"/>
      <c r="J88" s="104"/>
      <c r="K88" s="102"/>
      <c r="L88" s="104"/>
      <c r="M88" s="104"/>
      <c r="N88" s="104"/>
      <c r="O88" s="118"/>
      <c r="P88" s="119"/>
      <c r="Q88" s="113"/>
      <c r="R88" s="53"/>
      <c r="S88" s="113"/>
      <c r="T88" s="53"/>
      <c r="U88" s="113"/>
      <c r="V88" s="53"/>
      <c r="W88" s="53"/>
    </row>
    <row r="89" spans="1:23" s="52" customFormat="1" ht="12.75">
      <c r="A89" s="109"/>
      <c r="B89" s="117"/>
      <c r="C89" s="102"/>
      <c r="D89" s="102"/>
      <c r="E89" s="53"/>
      <c r="F89" s="53"/>
      <c r="G89" s="53"/>
      <c r="H89" s="104"/>
      <c r="I89" s="53"/>
      <c r="J89" s="104"/>
      <c r="K89" s="53"/>
      <c r="L89" s="121"/>
      <c r="M89" s="122"/>
      <c r="N89" s="122"/>
      <c r="O89" s="118"/>
      <c r="P89" s="119"/>
      <c r="Q89" s="113"/>
      <c r="R89" s="53"/>
      <c r="S89" s="113"/>
      <c r="T89" s="53"/>
      <c r="U89" s="113"/>
      <c r="V89" s="53"/>
      <c r="W89" s="53"/>
    </row>
    <row r="90" spans="1:23" s="52" customFormat="1" ht="12.75">
      <c r="A90" s="123"/>
      <c r="B90" s="124"/>
      <c r="C90" s="99"/>
      <c r="D90" s="99"/>
      <c r="E90" s="125"/>
      <c r="F90" s="125"/>
      <c r="G90" s="125"/>
      <c r="H90" s="126"/>
      <c r="I90" s="125"/>
      <c r="J90" s="126"/>
      <c r="K90" s="125"/>
      <c r="L90" s="126"/>
      <c r="M90" s="126"/>
      <c r="N90" s="126"/>
      <c r="O90" s="127"/>
      <c r="P90" s="126"/>
      <c r="Q90" s="113"/>
      <c r="R90" s="53"/>
      <c r="S90" s="113"/>
      <c r="T90" s="53"/>
      <c r="U90" s="113"/>
      <c r="V90" s="53"/>
      <c r="W90" s="53"/>
    </row>
    <row r="91" spans="1:23" s="52" customFormat="1" ht="12.75">
      <c r="A91" s="109"/>
      <c r="B91" s="53"/>
      <c r="C91" s="102"/>
      <c r="D91" s="102"/>
      <c r="E91" s="53"/>
      <c r="F91" s="53"/>
      <c r="G91" s="53"/>
      <c r="H91" s="104"/>
      <c r="I91" s="53"/>
      <c r="J91" s="104"/>
      <c r="K91" s="53"/>
      <c r="L91" s="121"/>
      <c r="M91" s="122"/>
      <c r="N91" s="122"/>
      <c r="O91" s="118"/>
      <c r="P91" s="119"/>
      <c r="Q91" s="113"/>
      <c r="R91" s="53"/>
      <c r="S91" s="113"/>
      <c r="T91" s="53"/>
      <c r="U91" s="113"/>
      <c r="V91" s="53"/>
      <c r="W91" s="53"/>
    </row>
    <row r="92" spans="1:23" s="52" customFormat="1" ht="12.75">
      <c r="A92" s="109"/>
      <c r="B92" s="117"/>
      <c r="C92" s="102"/>
      <c r="D92" s="102"/>
      <c r="E92" s="102"/>
      <c r="F92" s="102"/>
      <c r="G92" s="102"/>
      <c r="H92" s="104"/>
      <c r="I92" s="102"/>
      <c r="J92" s="104"/>
      <c r="K92" s="105"/>
      <c r="L92" s="104"/>
      <c r="M92" s="104"/>
      <c r="N92" s="104"/>
      <c r="O92" s="118"/>
      <c r="P92" s="119"/>
      <c r="Q92" s="113"/>
      <c r="R92" s="53"/>
      <c r="S92" s="113"/>
      <c r="T92" s="53"/>
      <c r="U92" s="113"/>
      <c r="V92" s="53"/>
      <c r="W92" s="53"/>
    </row>
    <row r="93" spans="1:23" s="52" customFormat="1" ht="12.75">
      <c r="A93" s="109"/>
      <c r="B93" s="117"/>
      <c r="C93" s="102"/>
      <c r="D93" s="102"/>
      <c r="E93" s="102"/>
      <c r="F93" s="102"/>
      <c r="G93" s="102"/>
      <c r="H93" s="104"/>
      <c r="I93" s="102"/>
      <c r="J93" s="104"/>
      <c r="K93" s="102"/>
      <c r="L93" s="104"/>
      <c r="M93" s="104"/>
      <c r="N93" s="104"/>
      <c r="O93" s="118"/>
      <c r="P93" s="119"/>
      <c r="Q93" s="113"/>
      <c r="R93" s="53"/>
      <c r="S93" s="113"/>
      <c r="T93" s="53"/>
      <c r="U93" s="113"/>
      <c r="V93" s="53"/>
      <c r="W93" s="53"/>
    </row>
    <row r="94" spans="1:23" s="52" customFormat="1" ht="12.75">
      <c r="A94" s="109"/>
      <c r="B94" s="117"/>
      <c r="C94" s="102"/>
      <c r="D94" s="102"/>
      <c r="E94" s="102"/>
      <c r="F94" s="102"/>
      <c r="G94" s="102"/>
      <c r="H94" s="104"/>
      <c r="I94" s="102"/>
      <c r="J94" s="104"/>
      <c r="K94" s="102"/>
      <c r="L94" s="104"/>
      <c r="M94" s="104"/>
      <c r="N94" s="104"/>
      <c r="O94" s="118"/>
      <c r="P94" s="119"/>
      <c r="Q94" s="113"/>
      <c r="R94" s="53"/>
      <c r="S94" s="113"/>
      <c r="T94" s="53"/>
      <c r="U94" s="113"/>
      <c r="V94" s="53"/>
      <c r="W94" s="53"/>
    </row>
    <row r="95" spans="1:23" s="52" customFormat="1" ht="12.75">
      <c r="A95" s="109"/>
      <c r="B95" s="53"/>
      <c r="C95" s="102"/>
      <c r="D95" s="10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113"/>
      <c r="P95" s="53"/>
      <c r="Q95" s="113"/>
      <c r="R95" s="53"/>
      <c r="S95" s="113"/>
      <c r="T95" s="53"/>
      <c r="U95" s="113"/>
      <c r="V95" s="53"/>
      <c r="W95" s="53"/>
    </row>
    <row r="96" spans="1:23" s="52" customFormat="1" ht="12.75">
      <c r="A96" s="109"/>
      <c r="B96" s="53"/>
      <c r="C96" s="102"/>
      <c r="D96" s="10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113"/>
      <c r="P96" s="53"/>
      <c r="Q96" s="113"/>
      <c r="R96" s="53"/>
      <c r="S96" s="113"/>
      <c r="T96" s="53"/>
      <c r="U96" s="113"/>
      <c r="V96" s="53"/>
      <c r="W96" s="53"/>
    </row>
    <row r="97" spans="1:23" s="52" customFormat="1" ht="12.75">
      <c r="A97" s="109"/>
      <c r="B97" s="53"/>
      <c r="C97" s="102"/>
      <c r="D97" s="10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113"/>
      <c r="P97" s="53"/>
      <c r="Q97" s="113"/>
      <c r="R97" s="53"/>
      <c r="S97" s="113"/>
      <c r="T97" s="53"/>
      <c r="U97" s="113"/>
      <c r="V97" s="53"/>
      <c r="W97" s="53"/>
    </row>
    <row r="98" spans="1:23" s="52" customFormat="1" ht="12.75">
      <c r="A98" s="109"/>
      <c r="B98" s="53"/>
      <c r="C98" s="102"/>
      <c r="D98" s="10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113"/>
      <c r="P98" s="53"/>
      <c r="Q98" s="113"/>
      <c r="R98" s="53"/>
      <c r="S98" s="113"/>
      <c r="T98" s="53"/>
      <c r="U98" s="113"/>
      <c r="V98" s="53"/>
      <c r="W98" s="53"/>
    </row>
    <row r="99" spans="1:23" s="52" customFormat="1" ht="12.75">
      <c r="A99" s="109"/>
      <c r="B99" s="53"/>
      <c r="C99" s="102"/>
      <c r="D99" s="10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113"/>
      <c r="P99" s="53"/>
      <c r="Q99" s="113"/>
      <c r="R99" s="53"/>
      <c r="S99" s="113"/>
      <c r="T99" s="53"/>
      <c r="U99" s="113"/>
      <c r="V99" s="53"/>
      <c r="W99" s="53"/>
    </row>
    <row r="100" spans="1:23" s="52" customFormat="1" ht="22.5">
      <c r="A100" s="109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113"/>
      <c r="P100" s="53"/>
      <c r="Q100" s="113"/>
      <c r="R100" s="53"/>
      <c r="S100" s="113"/>
      <c r="T100" s="53"/>
      <c r="U100" s="113"/>
      <c r="V100" s="53"/>
      <c r="W100" s="53"/>
    </row>
    <row r="101" spans="1:23" s="52" customFormat="1" ht="24.75">
      <c r="A101" s="109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113"/>
      <c r="P101" s="53"/>
      <c r="Q101" s="113"/>
      <c r="R101" s="53"/>
      <c r="S101" s="113"/>
      <c r="T101" s="53"/>
      <c r="U101" s="113"/>
      <c r="V101" s="53"/>
      <c r="W101" s="53"/>
    </row>
    <row r="102" spans="1:23" s="52" customFormat="1" ht="24.75">
      <c r="A102" s="109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113"/>
      <c r="P102" s="53"/>
      <c r="Q102" s="113"/>
      <c r="R102" s="53"/>
      <c r="S102" s="113"/>
      <c r="T102" s="53"/>
      <c r="U102" s="113"/>
      <c r="V102" s="53"/>
      <c r="W102" s="53"/>
    </row>
    <row r="103" spans="1:23" s="52" customFormat="1" ht="12.75">
      <c r="A103" s="290"/>
      <c r="B103" s="302"/>
      <c r="C103" s="302"/>
      <c r="D103" s="114"/>
      <c r="E103" s="302"/>
      <c r="F103" s="302"/>
      <c r="G103" s="299"/>
      <c r="H103" s="299"/>
      <c r="I103" s="299"/>
      <c r="J103" s="299"/>
      <c r="K103" s="299"/>
      <c r="L103" s="299"/>
      <c r="M103" s="302"/>
      <c r="N103" s="302"/>
      <c r="O103" s="302"/>
      <c r="P103" s="302"/>
      <c r="Q103" s="302"/>
      <c r="R103" s="302"/>
      <c r="S103" s="128"/>
      <c r="T103" s="114"/>
      <c r="U103" s="302"/>
      <c r="V103" s="302"/>
      <c r="W103" s="53"/>
    </row>
    <row r="104" spans="1:23" s="52" customFormat="1" ht="12.75">
      <c r="A104" s="290"/>
      <c r="B104" s="302"/>
      <c r="C104" s="302"/>
      <c r="D104" s="114"/>
      <c r="E104" s="302"/>
      <c r="F104" s="302"/>
      <c r="G104" s="303"/>
      <c r="H104" s="303"/>
      <c r="I104" s="303"/>
      <c r="J104" s="303"/>
      <c r="K104" s="303"/>
      <c r="L104" s="303"/>
      <c r="M104" s="302"/>
      <c r="N104" s="302"/>
      <c r="O104" s="302"/>
      <c r="P104" s="302"/>
      <c r="Q104" s="302"/>
      <c r="R104" s="302"/>
      <c r="S104" s="128"/>
      <c r="T104" s="114"/>
      <c r="U104" s="302"/>
      <c r="V104" s="302"/>
      <c r="W104" s="53"/>
    </row>
    <row r="105" spans="1:23" s="52" customFormat="1" ht="12.75">
      <c r="A105" s="290"/>
      <c r="B105" s="302"/>
      <c r="C105" s="302"/>
      <c r="D105" s="114"/>
      <c r="E105" s="302"/>
      <c r="F105" s="302"/>
      <c r="G105" s="303"/>
      <c r="H105" s="303"/>
      <c r="I105" s="303"/>
      <c r="J105" s="303"/>
      <c r="K105" s="303"/>
      <c r="L105" s="303"/>
      <c r="M105" s="302"/>
      <c r="N105" s="302"/>
      <c r="O105" s="302"/>
      <c r="P105" s="302"/>
      <c r="Q105" s="302"/>
      <c r="R105" s="302"/>
      <c r="S105" s="128"/>
      <c r="T105" s="114"/>
      <c r="U105" s="302"/>
      <c r="V105" s="302"/>
      <c r="W105" s="53"/>
    </row>
    <row r="106" spans="1:23" s="52" customFormat="1" ht="12.75">
      <c r="A106" s="290"/>
      <c r="B106" s="302"/>
      <c r="C106" s="302"/>
      <c r="D106" s="114"/>
      <c r="E106" s="302"/>
      <c r="F106" s="302"/>
      <c r="G106" s="102"/>
      <c r="H106" s="102"/>
      <c r="I106" s="102"/>
      <c r="J106" s="102"/>
      <c r="K106" s="102"/>
      <c r="L106" s="102"/>
      <c r="M106" s="102"/>
      <c r="N106" s="102"/>
      <c r="O106" s="108"/>
      <c r="P106" s="102"/>
      <c r="Q106" s="108"/>
      <c r="R106" s="102"/>
      <c r="S106" s="108"/>
      <c r="T106" s="102"/>
      <c r="U106" s="108"/>
      <c r="V106" s="102"/>
      <c r="W106" s="53"/>
    </row>
    <row r="107" spans="1:23" s="52" customFormat="1" ht="12.75">
      <c r="A107" s="109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8"/>
      <c r="P107" s="102"/>
      <c r="Q107" s="108"/>
      <c r="R107" s="102"/>
      <c r="S107" s="108"/>
      <c r="T107" s="102"/>
      <c r="U107" s="108"/>
      <c r="V107" s="102"/>
      <c r="W107" s="53"/>
    </row>
    <row r="108" spans="1:23" s="52" customFormat="1" ht="12.75">
      <c r="A108" s="109"/>
      <c r="B108" s="292"/>
      <c r="C108" s="292"/>
      <c r="D108" s="117"/>
      <c r="E108" s="102"/>
      <c r="F108" s="102"/>
      <c r="G108" s="102"/>
      <c r="H108" s="104"/>
      <c r="I108" s="102"/>
      <c r="J108" s="104"/>
      <c r="K108" s="102"/>
      <c r="L108" s="104"/>
      <c r="M108" s="129"/>
      <c r="N108" s="105"/>
      <c r="O108" s="108"/>
      <c r="P108" s="104"/>
      <c r="Q108" s="108"/>
      <c r="R108" s="104"/>
      <c r="S108" s="108"/>
      <c r="T108" s="104"/>
      <c r="U108" s="108"/>
      <c r="V108" s="104"/>
      <c r="W108" s="53"/>
    </row>
    <row r="109" spans="1:23" s="52" customFormat="1" ht="12.75">
      <c r="A109" s="109"/>
      <c r="B109" s="53"/>
      <c r="C109" s="116"/>
      <c r="D109" s="116"/>
      <c r="E109" s="102"/>
      <c r="F109" s="102"/>
      <c r="G109" s="102"/>
      <c r="H109" s="103"/>
      <c r="I109" s="102"/>
      <c r="J109" s="104"/>
      <c r="K109" s="102"/>
      <c r="L109" s="104"/>
      <c r="M109" s="105"/>
      <c r="N109" s="105"/>
      <c r="O109" s="108"/>
      <c r="P109" s="104"/>
      <c r="Q109" s="108"/>
      <c r="R109" s="104"/>
      <c r="S109" s="108"/>
      <c r="T109" s="104"/>
      <c r="U109" s="108"/>
      <c r="V109" s="104"/>
      <c r="W109" s="53"/>
    </row>
    <row r="110" spans="1:23" s="52" customFormat="1" ht="12.75">
      <c r="A110" s="109"/>
      <c r="B110" s="53"/>
      <c r="C110" s="116"/>
      <c r="D110" s="116"/>
      <c r="E110" s="102"/>
      <c r="F110" s="102"/>
      <c r="G110" s="102"/>
      <c r="H110" s="104"/>
      <c r="I110" s="102"/>
      <c r="J110" s="104"/>
      <c r="K110" s="102"/>
      <c r="L110" s="104"/>
      <c r="M110" s="105"/>
      <c r="N110" s="105"/>
      <c r="O110" s="108"/>
      <c r="P110" s="104"/>
      <c r="Q110" s="108"/>
      <c r="R110" s="104"/>
      <c r="S110" s="108"/>
      <c r="T110" s="104"/>
      <c r="U110" s="108"/>
      <c r="V110" s="104"/>
      <c r="W110" s="53"/>
    </row>
    <row r="111" spans="1:23" s="52" customFormat="1" ht="12.75">
      <c r="A111" s="109"/>
      <c r="B111" s="292"/>
      <c r="C111" s="292"/>
      <c r="D111" s="117"/>
      <c r="E111" s="102"/>
      <c r="F111" s="102"/>
      <c r="G111" s="102"/>
      <c r="H111" s="104"/>
      <c r="I111" s="102"/>
      <c r="J111" s="104"/>
      <c r="K111" s="102"/>
      <c r="L111" s="104"/>
      <c r="M111" s="102"/>
      <c r="N111" s="105"/>
      <c r="O111" s="108"/>
      <c r="P111" s="104"/>
      <c r="Q111" s="108"/>
      <c r="R111" s="104"/>
      <c r="S111" s="108"/>
      <c r="T111" s="104"/>
      <c r="U111" s="108"/>
      <c r="V111" s="104"/>
      <c r="W111" s="53"/>
    </row>
    <row r="112" spans="1:23" s="52" customFormat="1" ht="12.75">
      <c r="A112" s="109"/>
      <c r="B112" s="53"/>
      <c r="C112" s="116"/>
      <c r="D112" s="116"/>
      <c r="E112" s="102"/>
      <c r="F112" s="102"/>
      <c r="G112" s="102"/>
      <c r="H112" s="103"/>
      <c r="I112" s="102"/>
      <c r="J112" s="104"/>
      <c r="K112" s="102"/>
      <c r="L112" s="104"/>
      <c r="M112" s="105"/>
      <c r="N112" s="105"/>
      <c r="O112" s="108"/>
      <c r="P112" s="104"/>
      <c r="Q112" s="108"/>
      <c r="R112" s="103"/>
      <c r="S112" s="108"/>
      <c r="T112" s="103"/>
      <c r="U112" s="108"/>
      <c r="V112" s="103"/>
      <c r="W112" s="53"/>
    </row>
    <row r="113" spans="1:23" s="52" customFormat="1" ht="12.75">
      <c r="A113" s="109"/>
      <c r="B113" s="53"/>
      <c r="C113" s="116"/>
      <c r="D113" s="116"/>
      <c r="E113" s="102"/>
      <c r="F113" s="102"/>
      <c r="G113" s="102"/>
      <c r="H113" s="104"/>
      <c r="I113" s="102"/>
      <c r="J113" s="104"/>
      <c r="K113" s="102"/>
      <c r="L113" s="104"/>
      <c r="M113" s="105"/>
      <c r="N113" s="105"/>
      <c r="O113" s="108"/>
      <c r="P113" s="104"/>
      <c r="Q113" s="108"/>
      <c r="R113" s="104"/>
      <c r="S113" s="108"/>
      <c r="T113" s="104"/>
      <c r="U113" s="108"/>
      <c r="V113" s="104"/>
      <c r="W113" s="53"/>
    </row>
    <row r="114" spans="1:23" s="52" customFormat="1" ht="12.75">
      <c r="A114" s="109"/>
      <c r="B114" s="53"/>
      <c r="C114" s="116"/>
      <c r="D114" s="116"/>
      <c r="E114" s="102"/>
      <c r="F114" s="102"/>
      <c r="G114" s="102"/>
      <c r="H114" s="104"/>
      <c r="I114" s="102"/>
      <c r="J114" s="104"/>
      <c r="K114" s="102"/>
      <c r="L114" s="104"/>
      <c r="M114" s="105"/>
      <c r="N114" s="105"/>
      <c r="O114" s="108"/>
      <c r="P114" s="104"/>
      <c r="Q114" s="108"/>
      <c r="R114" s="104"/>
      <c r="S114" s="108"/>
      <c r="T114" s="104"/>
      <c r="U114" s="108"/>
      <c r="V114" s="104"/>
      <c r="W114" s="53"/>
    </row>
    <row r="115" spans="1:23" s="52" customFormat="1" ht="12.75">
      <c r="A115" s="109"/>
      <c r="B115" s="292"/>
      <c r="C115" s="292"/>
      <c r="D115" s="117"/>
      <c r="E115" s="102"/>
      <c r="F115" s="102"/>
      <c r="G115" s="102"/>
      <c r="H115" s="104"/>
      <c r="I115" s="102"/>
      <c r="J115" s="104"/>
      <c r="K115" s="102"/>
      <c r="L115" s="104"/>
      <c r="M115" s="102"/>
      <c r="N115" s="105"/>
      <c r="O115" s="108"/>
      <c r="P115" s="104"/>
      <c r="Q115" s="108"/>
      <c r="R115" s="104"/>
      <c r="S115" s="108"/>
      <c r="T115" s="104"/>
      <c r="U115" s="108"/>
      <c r="V115" s="104"/>
      <c r="W115" s="53"/>
    </row>
    <row r="116" spans="1:23" s="52" customFormat="1" ht="12.75">
      <c r="A116" s="109"/>
      <c r="B116" s="53"/>
      <c r="C116" s="116"/>
      <c r="D116" s="116"/>
      <c r="E116" s="102"/>
      <c r="F116" s="102"/>
      <c r="G116" s="102"/>
      <c r="H116" s="103"/>
      <c r="I116" s="102"/>
      <c r="J116" s="104"/>
      <c r="K116" s="102"/>
      <c r="L116" s="104"/>
      <c r="M116" s="105"/>
      <c r="N116" s="105"/>
      <c r="O116" s="108"/>
      <c r="P116" s="104"/>
      <c r="Q116" s="108"/>
      <c r="R116" s="103"/>
      <c r="S116" s="108"/>
      <c r="T116" s="103"/>
      <c r="U116" s="108"/>
      <c r="V116" s="103"/>
      <c r="W116" s="53"/>
    </row>
    <row r="117" spans="1:23" s="52" customFormat="1" ht="12.75">
      <c r="A117" s="109"/>
      <c r="B117" s="292"/>
      <c r="C117" s="292"/>
      <c r="D117" s="117"/>
      <c r="E117" s="102"/>
      <c r="F117" s="102"/>
      <c r="G117" s="102"/>
      <c r="H117" s="104"/>
      <c r="I117" s="102"/>
      <c r="J117" s="104"/>
      <c r="K117" s="102"/>
      <c r="L117" s="104"/>
      <c r="M117" s="102"/>
      <c r="N117" s="105"/>
      <c r="O117" s="108"/>
      <c r="P117" s="104"/>
      <c r="Q117" s="108"/>
      <c r="R117" s="104"/>
      <c r="S117" s="108"/>
      <c r="T117" s="104"/>
      <c r="U117" s="108"/>
      <c r="V117" s="104"/>
      <c r="W117" s="53"/>
    </row>
    <row r="118" spans="1:23" s="52" customFormat="1" ht="12.75">
      <c r="A118" s="301"/>
      <c r="B118" s="301"/>
      <c r="C118" s="116"/>
      <c r="D118" s="116"/>
      <c r="E118" s="102"/>
      <c r="F118" s="102"/>
      <c r="G118" s="102"/>
      <c r="H118" s="103"/>
      <c r="I118" s="102"/>
      <c r="J118" s="104"/>
      <c r="K118" s="102"/>
      <c r="L118" s="104"/>
      <c r="M118" s="105"/>
      <c r="N118" s="105"/>
      <c r="O118" s="108"/>
      <c r="P118" s="104"/>
      <c r="Q118" s="108"/>
      <c r="R118" s="103"/>
      <c r="S118" s="108"/>
      <c r="T118" s="103"/>
      <c r="U118" s="108"/>
      <c r="V118" s="103"/>
      <c r="W118" s="53"/>
    </row>
    <row r="119" spans="1:23" s="52" customFormat="1" ht="12.75">
      <c r="A119" s="301"/>
      <c r="B119" s="301"/>
      <c r="C119" s="116"/>
      <c r="D119" s="116"/>
      <c r="E119" s="102"/>
      <c r="F119" s="102"/>
      <c r="G119" s="102"/>
      <c r="H119" s="104"/>
      <c r="I119" s="102"/>
      <c r="J119" s="104"/>
      <c r="K119" s="102"/>
      <c r="L119" s="104"/>
      <c r="M119" s="102"/>
      <c r="N119" s="105"/>
      <c r="O119" s="108"/>
      <c r="P119" s="104"/>
      <c r="Q119" s="108"/>
      <c r="R119" s="104"/>
      <c r="S119" s="108"/>
      <c r="T119" s="104"/>
      <c r="U119" s="108"/>
      <c r="V119" s="104"/>
      <c r="W119" s="53"/>
    </row>
    <row r="120" spans="1:23" s="52" customFormat="1" ht="12.75">
      <c r="A120" s="130"/>
      <c r="B120" s="130"/>
      <c r="C120" s="125"/>
      <c r="D120" s="125"/>
      <c r="E120" s="102"/>
      <c r="F120" s="102"/>
      <c r="G120" s="102"/>
      <c r="H120" s="104"/>
      <c r="I120" s="102"/>
      <c r="J120" s="104"/>
      <c r="K120" s="105"/>
      <c r="L120" s="104"/>
      <c r="M120" s="102"/>
      <c r="N120" s="105"/>
      <c r="O120" s="108"/>
      <c r="P120" s="104"/>
      <c r="Q120" s="108"/>
      <c r="R120" s="104"/>
      <c r="S120" s="108"/>
      <c r="T120" s="104"/>
      <c r="U120" s="108"/>
      <c r="V120" s="104"/>
      <c r="W120" s="53"/>
    </row>
    <row r="121" spans="1:23" s="52" customFormat="1" ht="12.75">
      <c r="A121" s="109"/>
      <c r="B121" s="292"/>
      <c r="C121" s="292"/>
      <c r="D121" s="117"/>
      <c r="E121" s="102"/>
      <c r="F121" s="102"/>
      <c r="G121" s="102"/>
      <c r="H121" s="104"/>
      <c r="I121" s="102"/>
      <c r="J121" s="104"/>
      <c r="K121" s="102"/>
      <c r="L121" s="104"/>
      <c r="M121" s="102"/>
      <c r="N121" s="105"/>
      <c r="O121" s="108"/>
      <c r="P121" s="104"/>
      <c r="Q121" s="108"/>
      <c r="R121" s="104"/>
      <c r="S121" s="108"/>
      <c r="T121" s="104"/>
      <c r="U121" s="108"/>
      <c r="V121" s="104"/>
      <c r="W121" s="53"/>
    </row>
    <row r="122" spans="1:23" s="52" customFormat="1" ht="12.75">
      <c r="A122" s="109"/>
      <c r="B122" s="53"/>
      <c r="C122" s="116"/>
      <c r="D122" s="116"/>
      <c r="E122" s="102"/>
      <c r="F122" s="102"/>
      <c r="G122" s="102"/>
      <c r="H122" s="104"/>
      <c r="I122" s="102"/>
      <c r="J122" s="104"/>
      <c r="K122" s="102"/>
      <c r="L122" s="104"/>
      <c r="M122" s="105"/>
      <c r="N122" s="105"/>
      <c r="O122" s="108"/>
      <c r="P122" s="104"/>
      <c r="Q122" s="108"/>
      <c r="R122" s="104"/>
      <c r="S122" s="108"/>
      <c r="T122" s="104"/>
      <c r="U122" s="108"/>
      <c r="V122" s="104"/>
      <c r="W122" s="53"/>
    </row>
    <row r="123" spans="1:23" s="52" customFormat="1" ht="12.75">
      <c r="A123" s="109"/>
      <c r="B123" s="292"/>
      <c r="C123" s="292"/>
      <c r="D123" s="117"/>
      <c r="E123" s="102"/>
      <c r="F123" s="102"/>
      <c r="G123" s="102"/>
      <c r="H123" s="104"/>
      <c r="I123" s="102"/>
      <c r="J123" s="104"/>
      <c r="K123" s="102"/>
      <c r="L123" s="104"/>
      <c r="M123" s="102"/>
      <c r="N123" s="105"/>
      <c r="O123" s="108"/>
      <c r="P123" s="104"/>
      <c r="Q123" s="108"/>
      <c r="R123" s="104"/>
      <c r="S123" s="108"/>
      <c r="T123" s="104"/>
      <c r="U123" s="108"/>
      <c r="V123" s="104"/>
      <c r="W123" s="53"/>
    </row>
    <row r="124" spans="1:23" s="52" customFormat="1" ht="12.75">
      <c r="A124" s="109"/>
      <c r="B124" s="53"/>
      <c r="C124" s="116"/>
      <c r="D124" s="116"/>
      <c r="E124" s="102"/>
      <c r="F124" s="102"/>
      <c r="G124" s="102"/>
      <c r="H124" s="104"/>
      <c r="I124" s="102"/>
      <c r="J124" s="104"/>
      <c r="K124" s="102"/>
      <c r="L124" s="104"/>
      <c r="M124" s="102"/>
      <c r="N124" s="105"/>
      <c r="O124" s="108"/>
      <c r="P124" s="104"/>
      <c r="Q124" s="108"/>
      <c r="R124" s="104"/>
      <c r="S124" s="108"/>
      <c r="T124" s="104"/>
      <c r="U124" s="108"/>
      <c r="V124" s="104"/>
      <c r="W124" s="53"/>
    </row>
    <row r="125" spans="1:23" s="52" customFormat="1" ht="12.75">
      <c r="A125" s="109"/>
      <c r="B125" s="300"/>
      <c r="C125" s="300"/>
      <c r="D125" s="109"/>
      <c r="E125" s="102"/>
      <c r="F125" s="102"/>
      <c r="G125" s="102"/>
      <c r="H125" s="104"/>
      <c r="I125" s="102"/>
      <c r="J125" s="104"/>
      <c r="K125" s="102"/>
      <c r="L125" s="104"/>
      <c r="M125" s="102"/>
      <c r="N125" s="105"/>
      <c r="O125" s="108"/>
      <c r="P125" s="104"/>
      <c r="Q125" s="108"/>
      <c r="R125" s="103"/>
      <c r="S125" s="108"/>
      <c r="T125" s="103"/>
      <c r="U125" s="108"/>
      <c r="V125" s="103"/>
      <c r="W125" s="53"/>
    </row>
    <row r="126" spans="1:23" s="52" customFormat="1" ht="12.75">
      <c r="A126" s="131"/>
      <c r="B126" s="132"/>
      <c r="C126" s="125"/>
      <c r="D126" s="125"/>
      <c r="E126" s="102"/>
      <c r="F126" s="102"/>
      <c r="G126" s="102"/>
      <c r="H126" s="104"/>
      <c r="I126" s="102"/>
      <c r="J126" s="104"/>
      <c r="K126" s="102"/>
      <c r="L126" s="104"/>
      <c r="M126" s="102"/>
      <c r="N126" s="105"/>
      <c r="O126" s="108"/>
      <c r="P126" s="104"/>
      <c r="Q126" s="108"/>
      <c r="R126" s="104"/>
      <c r="S126" s="108"/>
      <c r="T126" s="104"/>
      <c r="U126" s="108"/>
      <c r="V126" s="104"/>
      <c r="W126" s="53"/>
    </row>
    <row r="127" spans="1:23" s="52" customFormat="1" ht="12.75">
      <c r="A127" s="109"/>
      <c r="B127" s="292"/>
      <c r="C127" s="292"/>
      <c r="D127" s="117"/>
      <c r="E127" s="102"/>
      <c r="F127" s="102"/>
      <c r="G127" s="102"/>
      <c r="H127" s="104"/>
      <c r="I127" s="102"/>
      <c r="J127" s="104"/>
      <c r="K127" s="102"/>
      <c r="L127" s="104"/>
      <c r="M127" s="102"/>
      <c r="N127" s="105"/>
      <c r="O127" s="108"/>
      <c r="P127" s="104"/>
      <c r="Q127" s="108"/>
      <c r="R127" s="104"/>
      <c r="S127" s="108"/>
      <c r="T127" s="104"/>
      <c r="U127" s="108"/>
      <c r="V127" s="104"/>
      <c r="W127" s="53"/>
    </row>
    <row r="128" spans="1:23" s="52" customFormat="1" ht="12.75">
      <c r="A128" s="131"/>
      <c r="B128" s="132"/>
      <c r="C128" s="125"/>
      <c r="D128" s="125"/>
      <c r="E128" s="102"/>
      <c r="F128" s="102"/>
      <c r="G128" s="102"/>
      <c r="H128" s="103"/>
      <c r="I128" s="105"/>
      <c r="J128" s="104"/>
      <c r="K128" s="102"/>
      <c r="L128" s="104"/>
      <c r="M128" s="102"/>
      <c r="N128" s="105"/>
      <c r="O128" s="108"/>
      <c r="P128" s="104"/>
      <c r="Q128" s="108"/>
      <c r="R128" s="104"/>
      <c r="S128" s="108"/>
      <c r="T128" s="104"/>
      <c r="U128" s="108"/>
      <c r="V128" s="104"/>
      <c r="W128" s="53"/>
    </row>
    <row r="129" spans="1:23" s="52" customFormat="1" ht="12.75">
      <c r="A129" s="109"/>
      <c r="B129" s="292"/>
      <c r="C129" s="292"/>
      <c r="D129" s="117"/>
      <c r="E129" s="102"/>
      <c r="F129" s="102"/>
      <c r="G129" s="102"/>
      <c r="H129" s="104"/>
      <c r="I129" s="102"/>
      <c r="J129" s="104"/>
      <c r="K129" s="102"/>
      <c r="L129" s="104"/>
      <c r="M129" s="102"/>
      <c r="N129" s="105"/>
      <c r="O129" s="108"/>
      <c r="P129" s="104"/>
      <c r="Q129" s="108"/>
      <c r="R129" s="104"/>
      <c r="S129" s="108"/>
      <c r="T129" s="104"/>
      <c r="U129" s="108"/>
      <c r="V129" s="104"/>
      <c r="W129" s="53"/>
    </row>
    <row r="130" spans="1:23" s="52" customFormat="1" ht="12.75">
      <c r="A130" s="290"/>
      <c r="B130" s="290"/>
      <c r="C130" s="102"/>
      <c r="D130" s="102"/>
      <c r="E130" s="102"/>
      <c r="F130" s="102"/>
      <c r="G130" s="102"/>
      <c r="H130" s="103"/>
      <c r="I130" s="102"/>
      <c r="J130" s="104"/>
      <c r="K130" s="103"/>
      <c r="L130" s="104"/>
      <c r="M130" s="105"/>
      <c r="N130" s="105"/>
      <c r="O130" s="108"/>
      <c r="P130" s="104"/>
      <c r="Q130" s="108"/>
      <c r="R130" s="103"/>
      <c r="S130" s="108"/>
      <c r="T130" s="103"/>
      <c r="U130" s="108"/>
      <c r="V130" s="103"/>
      <c r="W130" s="53"/>
    </row>
    <row r="131" spans="1:23" s="52" customFormat="1" ht="12.75">
      <c r="A131" s="290"/>
      <c r="B131" s="290"/>
      <c r="C131" s="102"/>
      <c r="D131" s="102"/>
      <c r="E131" s="102"/>
      <c r="F131" s="102"/>
      <c r="G131" s="102"/>
      <c r="H131" s="104"/>
      <c r="I131" s="102"/>
      <c r="J131" s="104"/>
      <c r="K131" s="102"/>
      <c r="L131" s="104"/>
      <c r="M131" s="105"/>
      <c r="N131" s="105"/>
      <c r="O131" s="108"/>
      <c r="P131" s="104"/>
      <c r="Q131" s="108"/>
      <c r="R131" s="104"/>
      <c r="S131" s="108"/>
      <c r="T131" s="104"/>
      <c r="U131" s="108"/>
      <c r="V131" s="104"/>
      <c r="W131" s="53"/>
    </row>
    <row r="132" spans="1:23" s="52" customFormat="1" ht="12.75">
      <c r="A132" s="290"/>
      <c r="B132" s="290"/>
      <c r="C132" s="102"/>
      <c r="D132" s="102"/>
      <c r="E132" s="102"/>
      <c r="F132" s="102"/>
      <c r="G132" s="102"/>
      <c r="H132" s="104"/>
      <c r="I132" s="102"/>
      <c r="J132" s="104"/>
      <c r="K132" s="102"/>
      <c r="L132" s="104"/>
      <c r="M132" s="105"/>
      <c r="N132" s="105"/>
      <c r="O132" s="108"/>
      <c r="P132" s="104"/>
      <c r="Q132" s="108"/>
      <c r="R132" s="104"/>
      <c r="S132" s="108"/>
      <c r="T132" s="104"/>
      <c r="U132" s="108"/>
      <c r="V132" s="104"/>
      <c r="W132" s="53"/>
    </row>
    <row r="133" spans="1:23" s="52" customFormat="1" ht="12.75">
      <c r="A133" s="109"/>
      <c r="B133" s="299"/>
      <c r="C133" s="299"/>
      <c r="D133" s="102"/>
      <c r="E133" s="102"/>
      <c r="F133" s="102"/>
      <c r="G133" s="102"/>
      <c r="H133" s="104"/>
      <c r="I133" s="102"/>
      <c r="J133" s="104"/>
      <c r="K133" s="102"/>
      <c r="L133" s="104"/>
      <c r="M133" s="102"/>
      <c r="N133" s="105"/>
      <c r="O133" s="108"/>
      <c r="P133" s="104"/>
      <c r="Q133" s="108"/>
      <c r="R133" s="104"/>
      <c r="S133" s="108"/>
      <c r="T133" s="104"/>
      <c r="U133" s="108"/>
      <c r="V133" s="104"/>
      <c r="W133" s="53"/>
    </row>
    <row r="134" spans="1:23" s="52" customFormat="1" ht="12.75">
      <c r="A134" s="109"/>
      <c r="B134" s="53"/>
      <c r="C134" s="102"/>
      <c r="D134" s="102"/>
      <c r="E134" s="102"/>
      <c r="F134" s="102"/>
      <c r="G134" s="102"/>
      <c r="H134" s="104"/>
      <c r="I134" s="102"/>
      <c r="J134" s="104"/>
      <c r="K134" s="103"/>
      <c r="L134" s="104"/>
      <c r="M134" s="106"/>
      <c r="N134" s="105"/>
      <c r="O134" s="107"/>
      <c r="P134" s="104"/>
      <c r="Q134" s="107"/>
      <c r="R134" s="104"/>
      <c r="S134" s="108"/>
      <c r="T134" s="104"/>
      <c r="U134" s="107"/>
      <c r="V134" s="104"/>
      <c r="W134" s="53"/>
    </row>
    <row r="135" spans="1:23" s="52" customFormat="1" ht="12.75">
      <c r="A135" s="109"/>
      <c r="B135" s="53"/>
      <c r="C135" s="102"/>
      <c r="D135" s="102"/>
      <c r="E135" s="102"/>
      <c r="F135" s="102"/>
      <c r="G135" s="102"/>
      <c r="H135" s="104"/>
      <c r="I135" s="105"/>
      <c r="J135" s="104"/>
      <c r="K135" s="105"/>
      <c r="L135" s="104"/>
      <c r="M135" s="105"/>
      <c r="N135" s="105"/>
      <c r="O135" s="108"/>
      <c r="P135" s="104"/>
      <c r="Q135" s="108"/>
      <c r="R135" s="104"/>
      <c r="S135" s="108"/>
      <c r="T135" s="104"/>
      <c r="U135" s="108"/>
      <c r="V135" s="104"/>
      <c r="W135" s="53"/>
    </row>
    <row r="136" spans="1:23" s="52" customFormat="1" ht="12.75">
      <c r="A136" s="109"/>
      <c r="B136" s="53"/>
      <c r="C136" s="102"/>
      <c r="D136" s="102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113"/>
      <c r="P136" s="53"/>
      <c r="Q136" s="113"/>
      <c r="R136" s="53"/>
      <c r="S136" s="113"/>
      <c r="T136" s="53"/>
      <c r="U136" s="113"/>
      <c r="V136" s="53"/>
      <c r="W136" s="53"/>
    </row>
    <row r="137" spans="1:23" s="52" customFormat="1" ht="12.75">
      <c r="A137" s="109"/>
      <c r="B137" s="53"/>
      <c r="C137" s="102"/>
      <c r="D137" s="102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113"/>
      <c r="P137" s="53"/>
      <c r="Q137" s="113"/>
      <c r="R137" s="53"/>
      <c r="S137" s="113"/>
      <c r="T137" s="53"/>
      <c r="U137" s="113"/>
      <c r="V137" s="53"/>
      <c r="W137" s="53"/>
    </row>
    <row r="138" spans="1:23" s="52" customFormat="1" ht="12.75">
      <c r="A138" s="109"/>
      <c r="B138" s="53"/>
      <c r="C138" s="102"/>
      <c r="D138" s="102"/>
      <c r="E138" s="102"/>
      <c r="F138" s="102"/>
      <c r="G138" s="102"/>
      <c r="H138" s="104"/>
      <c r="I138" s="102"/>
      <c r="J138" s="104"/>
      <c r="K138" s="105"/>
      <c r="L138" s="104"/>
      <c r="M138" s="106"/>
      <c r="N138" s="105"/>
      <c r="O138" s="107"/>
      <c r="P138" s="104"/>
      <c r="Q138" s="107"/>
      <c r="R138" s="104"/>
      <c r="S138" s="108"/>
      <c r="T138" s="104"/>
      <c r="U138" s="107"/>
      <c r="V138" s="104"/>
      <c r="W138" s="53"/>
    </row>
    <row r="139" spans="1:23" s="52" customFormat="1" ht="12.75">
      <c r="A139" s="109"/>
      <c r="B139" s="109"/>
      <c r="C139" s="102"/>
      <c r="D139" s="102"/>
      <c r="E139" s="102"/>
      <c r="F139" s="102"/>
      <c r="G139" s="102"/>
      <c r="H139" s="104"/>
      <c r="I139" s="105"/>
      <c r="J139" s="104"/>
      <c r="K139" s="105"/>
      <c r="L139" s="104"/>
      <c r="M139" s="133"/>
      <c r="N139" s="105"/>
      <c r="O139" s="107"/>
      <c r="P139" s="104"/>
      <c r="Q139" s="107"/>
      <c r="R139" s="104"/>
      <c r="S139" s="108"/>
      <c r="T139" s="104"/>
      <c r="U139" s="107"/>
      <c r="V139" s="104"/>
      <c r="W139" s="53"/>
    </row>
    <row r="140" spans="1:23" s="52" customFormat="1" ht="12.75">
      <c r="A140" s="109"/>
      <c r="B140" s="53"/>
      <c r="C140" s="102"/>
      <c r="D140" s="102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113"/>
      <c r="P140" s="53"/>
      <c r="Q140" s="113"/>
      <c r="R140" s="53"/>
      <c r="S140" s="113"/>
      <c r="T140" s="53"/>
      <c r="U140" s="113"/>
      <c r="V140" s="53"/>
      <c r="W140" s="53"/>
    </row>
    <row r="141" spans="1:23" s="52" customFormat="1" ht="12.75">
      <c r="A141" s="109"/>
      <c r="B141" s="53"/>
      <c r="C141" s="102"/>
      <c r="D141" s="102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113"/>
      <c r="P141" s="53"/>
      <c r="Q141" s="113"/>
      <c r="R141" s="53"/>
      <c r="S141" s="113"/>
      <c r="T141" s="53"/>
      <c r="U141" s="113"/>
      <c r="V141" s="53"/>
      <c r="W141" s="53"/>
    </row>
    <row r="142" spans="1:23" s="52" customFormat="1" ht="12.75">
      <c r="A142" s="109"/>
      <c r="B142" s="53"/>
      <c r="C142" s="102"/>
      <c r="D142" s="102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113"/>
      <c r="P142" s="53"/>
      <c r="Q142" s="113"/>
      <c r="R142" s="53"/>
      <c r="S142" s="113"/>
      <c r="T142" s="53"/>
      <c r="U142" s="113"/>
      <c r="V142" s="53"/>
      <c r="W142" s="53"/>
    </row>
    <row r="143" spans="1:23" s="52" customFormat="1" ht="12.75">
      <c r="A143" s="109"/>
      <c r="B143" s="53"/>
      <c r="C143" s="102"/>
      <c r="D143" s="102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113"/>
      <c r="P143" s="53"/>
      <c r="Q143" s="113"/>
      <c r="R143" s="53"/>
      <c r="S143" s="113"/>
      <c r="T143" s="53"/>
      <c r="U143" s="113"/>
      <c r="V143" s="53"/>
      <c r="W143" s="53"/>
    </row>
    <row r="144" spans="1:23" s="52" customFormat="1" ht="12.75">
      <c r="A144" s="109"/>
      <c r="B144" s="53"/>
      <c r="C144" s="102"/>
      <c r="D144" s="102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113"/>
      <c r="P144" s="53"/>
      <c r="Q144" s="113"/>
      <c r="R144" s="53"/>
      <c r="S144" s="113"/>
      <c r="T144" s="53"/>
      <c r="U144" s="113"/>
      <c r="V144" s="53"/>
      <c r="W144" s="53"/>
    </row>
    <row r="145" spans="1:23" s="52" customFormat="1" ht="12.75">
      <c r="A145" s="109"/>
      <c r="B145" s="53"/>
      <c r="C145" s="102"/>
      <c r="D145" s="102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113"/>
      <c r="P145" s="53"/>
      <c r="Q145" s="113"/>
      <c r="R145" s="53"/>
      <c r="S145" s="113"/>
      <c r="T145" s="53"/>
      <c r="U145" s="113"/>
      <c r="V145" s="53"/>
      <c r="W145" s="53"/>
    </row>
    <row r="146" spans="1:23" s="52" customFormat="1" ht="12.75">
      <c r="A146" s="109"/>
      <c r="B146" s="53"/>
      <c r="C146" s="102"/>
      <c r="D146" s="102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113"/>
      <c r="P146" s="53"/>
      <c r="Q146" s="113"/>
      <c r="R146" s="53"/>
      <c r="S146" s="113"/>
      <c r="T146" s="53"/>
      <c r="U146" s="113"/>
      <c r="V146" s="53"/>
      <c r="W146" s="53"/>
    </row>
    <row r="147" spans="1:23" s="52" customFormat="1" ht="12.75">
      <c r="A147" s="109"/>
      <c r="B147" s="53"/>
      <c r="C147" s="102"/>
      <c r="D147" s="102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113"/>
      <c r="P147" s="53"/>
      <c r="Q147" s="113"/>
      <c r="R147" s="53"/>
      <c r="S147" s="113"/>
      <c r="T147" s="53"/>
      <c r="U147" s="113"/>
      <c r="V147" s="53"/>
      <c r="W147" s="53"/>
    </row>
    <row r="148" spans="1:23" s="52" customFormat="1" ht="12.75">
      <c r="A148" s="109"/>
      <c r="B148" s="53"/>
      <c r="C148" s="102"/>
      <c r="D148" s="102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113"/>
      <c r="P148" s="53"/>
      <c r="Q148" s="113"/>
      <c r="R148" s="53"/>
      <c r="S148" s="113"/>
      <c r="T148" s="53"/>
      <c r="U148" s="113"/>
      <c r="V148" s="53"/>
      <c r="W148" s="53"/>
    </row>
    <row r="149" spans="1:23" s="52" customFormat="1" ht="12.75">
      <c r="A149" s="109"/>
      <c r="B149" s="53"/>
      <c r="C149" s="102"/>
      <c r="D149" s="102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113"/>
      <c r="P149" s="53"/>
      <c r="Q149" s="113"/>
      <c r="R149" s="53"/>
      <c r="S149" s="113"/>
      <c r="T149" s="53"/>
      <c r="U149" s="113"/>
      <c r="V149" s="53"/>
      <c r="W149" s="53"/>
    </row>
    <row r="150" spans="1:23" s="52" customFormat="1" ht="12.75">
      <c r="A150" s="109"/>
      <c r="B150" s="53"/>
      <c r="C150" s="102"/>
      <c r="D150" s="102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113"/>
      <c r="P150" s="53"/>
      <c r="Q150" s="113"/>
      <c r="R150" s="53"/>
      <c r="S150" s="113"/>
      <c r="T150" s="53"/>
      <c r="U150" s="113"/>
      <c r="V150" s="53"/>
      <c r="W150" s="53"/>
    </row>
    <row r="151" spans="1:23" s="52" customFormat="1" ht="12.75">
      <c r="A151" s="109"/>
      <c r="B151" s="53"/>
      <c r="C151" s="102"/>
      <c r="D151" s="102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113"/>
      <c r="P151" s="53"/>
      <c r="Q151" s="113"/>
      <c r="R151" s="53"/>
      <c r="S151" s="113"/>
      <c r="T151" s="53"/>
      <c r="U151" s="113"/>
      <c r="V151" s="53"/>
      <c r="W151" s="53"/>
    </row>
    <row r="152" spans="1:23" s="52" customFormat="1" ht="12.75">
      <c r="A152" s="109"/>
      <c r="B152" s="53"/>
      <c r="C152" s="102"/>
      <c r="D152" s="102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113"/>
      <c r="P152" s="53"/>
      <c r="Q152" s="113"/>
      <c r="R152" s="53"/>
      <c r="S152" s="113"/>
      <c r="T152" s="53"/>
      <c r="U152" s="113"/>
      <c r="V152" s="53"/>
      <c r="W152" s="53"/>
    </row>
    <row r="153" spans="1:23" s="52" customFormat="1" ht="12.75">
      <c r="A153" s="109"/>
      <c r="B153" s="53"/>
      <c r="C153" s="102"/>
      <c r="D153" s="102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113"/>
      <c r="P153" s="53"/>
      <c r="Q153" s="113"/>
      <c r="R153" s="53"/>
      <c r="S153" s="113"/>
      <c r="T153" s="53"/>
      <c r="U153" s="113"/>
      <c r="V153" s="53"/>
      <c r="W153" s="53"/>
    </row>
    <row r="154" spans="1:23" s="52" customFormat="1" ht="12.75">
      <c r="A154" s="109"/>
      <c r="B154" s="53"/>
      <c r="C154" s="102"/>
      <c r="D154" s="102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113"/>
      <c r="P154" s="53"/>
      <c r="Q154" s="113"/>
      <c r="R154" s="53"/>
      <c r="S154" s="113"/>
      <c r="T154" s="53"/>
      <c r="U154" s="113"/>
      <c r="V154" s="53"/>
      <c r="W154" s="53"/>
    </row>
    <row r="155" spans="1:23" ht="12.75">
      <c r="A155" s="38"/>
      <c r="B155" s="6"/>
      <c r="C155" s="37"/>
      <c r="D155" s="37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/>
      <c r="P155" s="6"/>
      <c r="Q155" s="27"/>
      <c r="R155" s="6"/>
      <c r="S155" s="27"/>
      <c r="T155" s="6"/>
      <c r="U155" s="27"/>
      <c r="V155" s="6"/>
      <c r="W155" s="6"/>
    </row>
    <row r="156" spans="1:23" ht="12.75">
      <c r="A156" s="38"/>
      <c r="B156" s="6"/>
      <c r="C156" s="37"/>
      <c r="D156" s="37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6"/>
      <c r="Q156" s="27"/>
      <c r="R156" s="6"/>
      <c r="S156" s="27"/>
      <c r="T156" s="6"/>
      <c r="U156" s="27"/>
      <c r="V156" s="6"/>
      <c r="W156" s="6"/>
    </row>
    <row r="157" spans="1:23" ht="12.75">
      <c r="A157" s="38"/>
      <c r="B157" s="6"/>
      <c r="C157" s="37"/>
      <c r="D157" s="37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6"/>
      <c r="Q157" s="27"/>
      <c r="R157" s="6"/>
      <c r="S157" s="27"/>
      <c r="T157" s="6"/>
      <c r="U157" s="27"/>
      <c r="V157" s="6"/>
      <c r="W157" s="6"/>
    </row>
    <row r="158" spans="1:23" ht="12.75">
      <c r="A158" s="38"/>
      <c r="B158" s="6"/>
      <c r="C158" s="37"/>
      <c r="D158" s="37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6"/>
      <c r="Q158" s="27"/>
      <c r="R158" s="6"/>
      <c r="S158" s="27"/>
      <c r="T158" s="6"/>
      <c r="U158" s="27"/>
      <c r="V158" s="6"/>
      <c r="W158" s="6"/>
    </row>
    <row r="159" spans="1:23" ht="12.75">
      <c r="A159" s="38"/>
      <c r="B159" s="6"/>
      <c r="C159" s="37"/>
      <c r="D159" s="37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/>
      <c r="P159" s="6"/>
      <c r="Q159" s="27"/>
      <c r="R159" s="6"/>
      <c r="S159" s="27"/>
      <c r="T159" s="6"/>
      <c r="U159" s="27"/>
      <c r="V159" s="6"/>
      <c r="W159" s="6"/>
    </row>
    <row r="160" spans="1:23" ht="12.75">
      <c r="A160" s="38"/>
      <c r="B160" s="6"/>
      <c r="C160" s="37"/>
      <c r="D160" s="37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/>
      <c r="P160" s="6"/>
      <c r="Q160" s="27"/>
      <c r="R160" s="6"/>
      <c r="S160" s="27"/>
      <c r="T160" s="6"/>
      <c r="U160" s="27"/>
      <c r="V160" s="6"/>
      <c r="W160" s="6"/>
    </row>
    <row r="161" spans="1:23" ht="12.75">
      <c r="A161" s="38"/>
      <c r="B161" s="6"/>
      <c r="C161" s="37"/>
      <c r="D161" s="37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6"/>
      <c r="Q161" s="27"/>
      <c r="R161" s="6"/>
      <c r="S161" s="27"/>
      <c r="T161" s="6"/>
      <c r="U161" s="27"/>
      <c r="V161" s="6"/>
      <c r="W161" s="6"/>
    </row>
    <row r="162" spans="1:23" ht="12.75">
      <c r="A162" s="38"/>
      <c r="B162" s="6"/>
      <c r="C162" s="37"/>
      <c r="D162" s="37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6"/>
      <c r="Q162" s="27"/>
      <c r="R162" s="6"/>
      <c r="S162" s="27"/>
      <c r="T162" s="6"/>
      <c r="U162" s="27"/>
      <c r="V162" s="6"/>
      <c r="W162" s="6"/>
    </row>
    <row r="163" spans="1:23" ht="12.75">
      <c r="A163" s="38"/>
      <c r="B163" s="6"/>
      <c r="C163" s="37"/>
      <c r="D163" s="37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6"/>
      <c r="Q163" s="27"/>
      <c r="R163" s="6"/>
      <c r="S163" s="27"/>
      <c r="T163" s="6"/>
      <c r="U163" s="27"/>
      <c r="V163" s="6"/>
      <c r="W163" s="6"/>
    </row>
    <row r="164" spans="1:23" ht="12.75">
      <c r="A164" s="38"/>
      <c r="B164" s="6"/>
      <c r="C164" s="37"/>
      <c r="D164" s="37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/>
      <c r="P164" s="6"/>
      <c r="Q164" s="27"/>
      <c r="R164" s="6"/>
      <c r="S164" s="27"/>
      <c r="T164" s="6"/>
      <c r="U164" s="27"/>
      <c r="V164" s="6"/>
      <c r="W164" s="6"/>
    </row>
    <row r="165" spans="1:23" ht="12.75">
      <c r="A165" s="38"/>
      <c r="B165" s="6"/>
      <c r="C165" s="37"/>
      <c r="D165" s="3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6"/>
      <c r="Q165" s="27"/>
      <c r="R165" s="6"/>
      <c r="S165" s="27"/>
      <c r="T165" s="6"/>
      <c r="U165" s="27"/>
      <c r="V165" s="6"/>
      <c r="W165" s="6"/>
    </row>
    <row r="166" spans="1:23" ht="12.75">
      <c r="A166" s="38"/>
      <c r="B166" s="6"/>
      <c r="C166" s="37"/>
      <c r="D166" s="37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6"/>
      <c r="Q166" s="27"/>
      <c r="R166" s="6"/>
      <c r="S166" s="27"/>
      <c r="T166" s="6"/>
      <c r="U166" s="27"/>
      <c r="V166" s="6"/>
      <c r="W166" s="6"/>
    </row>
    <row r="167" spans="1:23" ht="12.75">
      <c r="A167" s="38"/>
      <c r="B167" s="6"/>
      <c r="C167" s="37"/>
      <c r="D167" s="37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6"/>
      <c r="Q167" s="27"/>
      <c r="R167" s="6"/>
      <c r="S167" s="27"/>
      <c r="T167" s="6"/>
      <c r="U167" s="27"/>
      <c r="V167" s="6"/>
      <c r="W167" s="6"/>
    </row>
    <row r="168" spans="1:23" ht="12.75">
      <c r="A168" s="38"/>
      <c r="B168" s="6"/>
      <c r="C168" s="37"/>
      <c r="D168" s="37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6"/>
      <c r="Q168" s="27"/>
      <c r="R168" s="6"/>
      <c r="S168" s="27"/>
      <c r="T168" s="6"/>
      <c r="U168" s="27"/>
      <c r="V168" s="6"/>
      <c r="W168" s="6"/>
    </row>
    <row r="169" spans="1:23" ht="12.75">
      <c r="A169" s="38"/>
      <c r="B169" s="6"/>
      <c r="C169" s="37"/>
      <c r="D169" s="37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6"/>
      <c r="Q169" s="27"/>
      <c r="R169" s="6"/>
      <c r="S169" s="27"/>
      <c r="T169" s="6"/>
      <c r="U169" s="27"/>
      <c r="V169" s="6"/>
      <c r="W169" s="6"/>
    </row>
    <row r="170" spans="1:23" ht="12.75">
      <c r="A170" s="38"/>
      <c r="B170" s="6"/>
      <c r="C170" s="37"/>
      <c r="D170" s="37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6"/>
      <c r="Q170" s="27"/>
      <c r="R170" s="6"/>
      <c r="S170" s="27"/>
      <c r="T170" s="6"/>
      <c r="U170" s="27"/>
      <c r="V170" s="6"/>
      <c r="W170" s="6"/>
    </row>
    <row r="171" spans="1:23" ht="12.75">
      <c r="A171" s="38"/>
      <c r="B171" s="6"/>
      <c r="C171" s="37"/>
      <c r="D171" s="37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/>
      <c r="P171" s="6"/>
      <c r="Q171" s="27"/>
      <c r="R171" s="6"/>
      <c r="S171" s="27"/>
      <c r="T171" s="6"/>
      <c r="U171" s="27"/>
      <c r="V171" s="6"/>
      <c r="W171" s="6"/>
    </row>
    <row r="172" spans="1:23" ht="12.75">
      <c r="A172" s="38"/>
      <c r="B172" s="6"/>
      <c r="C172" s="37"/>
      <c r="D172" s="37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/>
      <c r="P172" s="6"/>
      <c r="Q172" s="27"/>
      <c r="R172" s="6"/>
      <c r="S172" s="27"/>
      <c r="T172" s="6"/>
      <c r="U172" s="27"/>
      <c r="V172" s="6"/>
      <c r="W172" s="6"/>
    </row>
    <row r="173" spans="1:23" ht="12.75">
      <c r="A173" s="38"/>
      <c r="B173" s="6"/>
      <c r="C173" s="37"/>
      <c r="D173" s="37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/>
      <c r="P173" s="6"/>
      <c r="Q173" s="27"/>
      <c r="R173" s="6"/>
      <c r="S173" s="27"/>
      <c r="T173" s="6"/>
      <c r="U173" s="27"/>
      <c r="V173" s="6"/>
      <c r="W173" s="6"/>
    </row>
    <row r="174" spans="1:23" ht="12.75">
      <c r="A174" s="38"/>
      <c r="B174" s="6"/>
      <c r="C174" s="37"/>
      <c r="D174" s="37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/>
      <c r="P174" s="6"/>
      <c r="Q174" s="27"/>
      <c r="R174" s="6"/>
      <c r="S174" s="27"/>
      <c r="T174" s="6"/>
      <c r="U174" s="27"/>
      <c r="V174" s="6"/>
      <c r="W174" s="6"/>
    </row>
    <row r="175" spans="1:23" ht="12.75">
      <c r="A175" s="38"/>
      <c r="B175" s="6"/>
      <c r="C175" s="37"/>
      <c r="D175" s="37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6"/>
      <c r="Q175" s="27"/>
      <c r="R175" s="6"/>
      <c r="S175" s="27"/>
      <c r="T175" s="6"/>
      <c r="U175" s="27"/>
      <c r="V175" s="6"/>
      <c r="W175" s="6"/>
    </row>
    <row r="176" spans="1:23" ht="12.75">
      <c r="A176" s="38"/>
      <c r="B176" s="6"/>
      <c r="C176" s="37"/>
      <c r="D176" s="37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6"/>
      <c r="Q176" s="27"/>
      <c r="R176" s="6"/>
      <c r="S176" s="27"/>
      <c r="T176" s="6"/>
      <c r="U176" s="27"/>
      <c r="V176" s="6"/>
      <c r="W176" s="6"/>
    </row>
    <row r="177" spans="1:23" ht="12.75">
      <c r="A177" s="38"/>
      <c r="B177" s="6"/>
      <c r="C177" s="37"/>
      <c r="D177" s="37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6"/>
      <c r="Q177" s="27"/>
      <c r="R177" s="6"/>
      <c r="S177" s="27"/>
      <c r="T177" s="6"/>
      <c r="U177" s="27"/>
      <c r="V177" s="6"/>
      <c r="W177" s="6"/>
    </row>
    <row r="178" spans="1:23" ht="12.75">
      <c r="A178" s="38"/>
      <c r="B178" s="6"/>
      <c r="C178" s="37"/>
      <c r="D178" s="37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/>
      <c r="P178" s="6"/>
      <c r="Q178" s="27"/>
      <c r="R178" s="6"/>
      <c r="S178" s="27"/>
      <c r="T178" s="6"/>
      <c r="U178" s="27"/>
      <c r="V178" s="6"/>
      <c r="W178" s="6"/>
    </row>
    <row r="179" spans="1:23" ht="12.75">
      <c r="A179" s="38"/>
      <c r="B179" s="6"/>
      <c r="C179" s="37"/>
      <c r="D179" s="37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6"/>
      <c r="Q179" s="27"/>
      <c r="R179" s="6"/>
      <c r="S179" s="27"/>
      <c r="T179" s="6"/>
      <c r="U179" s="27"/>
      <c r="V179" s="6"/>
      <c r="W179" s="6"/>
    </row>
    <row r="180" spans="1:23" ht="12.75">
      <c r="A180" s="38"/>
      <c r="B180" s="6"/>
      <c r="C180" s="37"/>
      <c r="D180" s="37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6"/>
      <c r="Q180" s="27"/>
      <c r="R180" s="6"/>
      <c r="S180" s="27"/>
      <c r="T180" s="6"/>
      <c r="U180" s="27"/>
      <c r="V180" s="6"/>
      <c r="W180" s="6"/>
    </row>
    <row r="181" spans="1:23" ht="12.75">
      <c r="A181" s="38"/>
      <c r="B181" s="6"/>
      <c r="C181" s="37"/>
      <c r="D181" s="37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6"/>
      <c r="Q181" s="27"/>
      <c r="R181" s="6"/>
      <c r="S181" s="27"/>
      <c r="T181" s="6"/>
      <c r="U181" s="27"/>
      <c r="V181" s="6"/>
      <c r="W181" s="6"/>
    </row>
    <row r="182" spans="1:23" ht="12.75">
      <c r="A182" s="38"/>
      <c r="B182" s="6"/>
      <c r="C182" s="37"/>
      <c r="D182" s="37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/>
      <c r="P182" s="6"/>
      <c r="Q182" s="27"/>
      <c r="R182" s="6"/>
      <c r="S182" s="27"/>
      <c r="T182" s="6"/>
      <c r="U182" s="27"/>
      <c r="V182" s="6"/>
      <c r="W182" s="6"/>
    </row>
    <row r="183" spans="1:23" ht="12.75">
      <c r="A183" s="38"/>
      <c r="B183" s="6"/>
      <c r="C183" s="37"/>
      <c r="D183" s="37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/>
      <c r="P183" s="6"/>
      <c r="Q183" s="27"/>
      <c r="R183" s="6"/>
      <c r="S183" s="27"/>
      <c r="T183" s="6"/>
      <c r="U183" s="27"/>
      <c r="V183" s="6"/>
      <c r="W183" s="6"/>
    </row>
    <row r="184" spans="1:23" ht="12.75">
      <c r="A184" s="38"/>
      <c r="B184" s="6"/>
      <c r="C184" s="37"/>
      <c r="D184" s="37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6"/>
      <c r="Q184" s="27"/>
      <c r="R184" s="6"/>
      <c r="S184" s="27"/>
      <c r="T184" s="6"/>
      <c r="U184" s="27"/>
      <c r="V184" s="6"/>
      <c r="W184" s="6"/>
    </row>
    <row r="185" spans="1:23" ht="12.75">
      <c r="A185" s="38"/>
      <c r="B185" s="6"/>
      <c r="C185" s="37"/>
      <c r="D185" s="37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6"/>
      <c r="Q185" s="27"/>
      <c r="R185" s="6"/>
      <c r="S185" s="27"/>
      <c r="T185" s="6"/>
      <c r="U185" s="27"/>
      <c r="V185" s="6"/>
      <c r="W185" s="6"/>
    </row>
    <row r="186" spans="1:23" ht="12.75">
      <c r="A186" s="38"/>
      <c r="B186" s="6"/>
      <c r="C186" s="37"/>
      <c r="D186" s="37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6"/>
      <c r="Q186" s="27"/>
      <c r="R186" s="6"/>
      <c r="S186" s="27"/>
      <c r="T186" s="6"/>
      <c r="U186" s="27"/>
      <c r="V186" s="6"/>
      <c r="W186" s="6"/>
    </row>
    <row r="187" spans="1:23" ht="12.75">
      <c r="A187" s="38"/>
      <c r="B187" s="6"/>
      <c r="C187" s="37"/>
      <c r="D187" s="37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/>
      <c r="P187" s="6"/>
      <c r="Q187" s="27"/>
      <c r="R187" s="6"/>
      <c r="S187" s="27"/>
      <c r="T187" s="6"/>
      <c r="U187" s="27"/>
      <c r="V187" s="6"/>
      <c r="W187" s="6"/>
    </row>
    <row r="188" spans="1:23" ht="12.75">
      <c r="A188" s="38"/>
      <c r="B188" s="6"/>
      <c r="C188" s="37"/>
      <c r="D188" s="37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6"/>
      <c r="Q188" s="27"/>
      <c r="R188" s="6"/>
      <c r="S188" s="27"/>
      <c r="T188" s="6"/>
      <c r="U188" s="27"/>
      <c r="V188" s="6"/>
      <c r="W188" s="6"/>
    </row>
    <row r="189" spans="1:23" ht="12.75">
      <c r="A189" s="38"/>
      <c r="B189" s="6"/>
      <c r="C189" s="37"/>
      <c r="D189" s="37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6"/>
      <c r="Q189" s="27"/>
      <c r="R189" s="6"/>
      <c r="S189" s="27"/>
      <c r="T189" s="6"/>
      <c r="U189" s="27"/>
      <c r="V189" s="6"/>
      <c r="W189" s="6"/>
    </row>
    <row r="190" spans="1:23" ht="12.75">
      <c r="A190" s="38"/>
      <c r="B190" s="6"/>
      <c r="C190" s="37"/>
      <c r="D190" s="3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6"/>
      <c r="Q190" s="27"/>
      <c r="R190" s="6"/>
      <c r="S190" s="27"/>
      <c r="T190" s="6"/>
      <c r="U190" s="27"/>
      <c r="V190" s="6"/>
      <c r="W190" s="6"/>
    </row>
    <row r="191" spans="1:23" ht="12.75">
      <c r="A191" s="38"/>
      <c r="B191" s="6"/>
      <c r="C191" s="37"/>
      <c r="D191" s="37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/>
      <c r="P191" s="6"/>
      <c r="Q191" s="27"/>
      <c r="R191" s="6"/>
      <c r="S191" s="27"/>
      <c r="T191" s="6"/>
      <c r="U191" s="27"/>
      <c r="V191" s="6"/>
      <c r="W191" s="6"/>
    </row>
    <row r="192" spans="1:23" ht="12.75">
      <c r="A192" s="38"/>
      <c r="B192" s="6"/>
      <c r="C192" s="37"/>
      <c r="D192" s="37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6"/>
      <c r="Q192" s="27"/>
      <c r="R192" s="6"/>
      <c r="S192" s="27"/>
      <c r="T192" s="6"/>
      <c r="U192" s="27"/>
      <c r="V192" s="6"/>
      <c r="W192" s="6"/>
    </row>
    <row r="193" spans="1:23" ht="12.75">
      <c r="A193" s="38"/>
      <c r="B193" s="6"/>
      <c r="C193" s="37"/>
      <c r="D193" s="37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6"/>
      <c r="Q193" s="27"/>
      <c r="R193" s="6"/>
      <c r="S193" s="27"/>
      <c r="T193" s="6"/>
      <c r="U193" s="27"/>
      <c r="V193" s="6"/>
      <c r="W193" s="6"/>
    </row>
    <row r="194" spans="1:23" ht="12.75">
      <c r="A194" s="38"/>
      <c r="B194" s="6"/>
      <c r="C194" s="37"/>
      <c r="D194" s="37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6"/>
      <c r="Q194" s="27"/>
      <c r="R194" s="6"/>
      <c r="S194" s="27"/>
      <c r="T194" s="6"/>
      <c r="U194" s="27"/>
      <c r="V194" s="6"/>
      <c r="W194" s="6"/>
    </row>
    <row r="195" spans="1:23" ht="12.75">
      <c r="A195" s="38"/>
      <c r="B195" s="6"/>
      <c r="C195" s="37"/>
      <c r="D195" s="37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/>
      <c r="P195" s="6"/>
      <c r="Q195" s="27"/>
      <c r="R195" s="6"/>
      <c r="S195" s="27"/>
      <c r="T195" s="6"/>
      <c r="U195" s="27"/>
      <c r="V195" s="6"/>
      <c r="W195" s="6"/>
    </row>
    <row r="196" spans="1:23" ht="12.75">
      <c r="A196" s="38"/>
      <c r="B196" s="6"/>
      <c r="C196" s="37"/>
      <c r="D196" s="37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/>
      <c r="P196" s="6"/>
      <c r="Q196" s="27"/>
      <c r="R196" s="6"/>
      <c r="S196" s="27"/>
      <c r="T196" s="6"/>
      <c r="U196" s="27"/>
      <c r="V196" s="6"/>
      <c r="W196" s="6"/>
    </row>
    <row r="197" spans="1:23" ht="12.75">
      <c r="A197" s="38"/>
      <c r="B197" s="6"/>
      <c r="C197" s="37"/>
      <c r="D197" s="37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6"/>
      <c r="Q197" s="27"/>
      <c r="R197" s="6"/>
      <c r="S197" s="27"/>
      <c r="T197" s="6"/>
      <c r="U197" s="27"/>
      <c r="V197" s="6"/>
      <c r="W197" s="6"/>
    </row>
    <row r="198" spans="1:23" ht="12.75">
      <c r="A198" s="38"/>
      <c r="B198" s="6"/>
      <c r="C198" s="37"/>
      <c r="D198" s="37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6"/>
      <c r="Q198" s="27"/>
      <c r="R198" s="6"/>
      <c r="S198" s="27"/>
      <c r="T198" s="6"/>
      <c r="U198" s="27"/>
      <c r="V198" s="6"/>
      <c r="W198" s="6"/>
    </row>
    <row r="199" spans="1:23" ht="12.75">
      <c r="A199" s="38"/>
      <c r="B199" s="6"/>
      <c r="C199" s="37"/>
      <c r="D199" s="37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6"/>
      <c r="Q199" s="27"/>
      <c r="R199" s="6"/>
      <c r="S199" s="27"/>
      <c r="T199" s="6"/>
      <c r="U199" s="27"/>
      <c r="V199" s="6"/>
      <c r="W199" s="6"/>
    </row>
  </sheetData>
  <sheetProtection/>
  <mergeCells count="96">
    <mergeCell ref="A11:B11"/>
    <mergeCell ref="G4:L4"/>
    <mergeCell ref="M4:N6"/>
    <mergeCell ref="I5:J6"/>
    <mergeCell ref="K5:L6"/>
    <mergeCell ref="D4:D7"/>
    <mergeCell ref="A1:V1"/>
    <mergeCell ref="A2:V2"/>
    <mergeCell ref="A3:V3"/>
    <mergeCell ref="A4:B7"/>
    <mergeCell ref="C4:C7"/>
    <mergeCell ref="E4:E7"/>
    <mergeCell ref="F4:F7"/>
    <mergeCell ref="C14:D14"/>
    <mergeCell ref="A20:V20"/>
    <mergeCell ref="A15:V15"/>
    <mergeCell ref="B73:N73"/>
    <mergeCell ref="A8:B8"/>
    <mergeCell ref="O4:P6"/>
    <mergeCell ref="Q4:R6"/>
    <mergeCell ref="S4:T6"/>
    <mergeCell ref="U4:V6"/>
    <mergeCell ref="G5:H6"/>
    <mergeCell ref="A44:B44"/>
    <mergeCell ref="A48:V48"/>
    <mergeCell ref="B72:N72"/>
    <mergeCell ref="C41:D41"/>
    <mergeCell ref="C42:D42"/>
    <mergeCell ref="B75:N75"/>
    <mergeCell ref="A41:B43"/>
    <mergeCell ref="O76:P78"/>
    <mergeCell ref="G77:H78"/>
    <mergeCell ref="I77:J78"/>
    <mergeCell ref="A76:A79"/>
    <mergeCell ref="B76:B79"/>
    <mergeCell ref="C76:C79"/>
    <mergeCell ref="B81:C81"/>
    <mergeCell ref="B100:N100"/>
    <mergeCell ref="E76:E79"/>
    <mergeCell ref="F76:F79"/>
    <mergeCell ref="B85:C85"/>
    <mergeCell ref="G76:L76"/>
    <mergeCell ref="K77:L78"/>
    <mergeCell ref="Q103:R105"/>
    <mergeCell ref="A103:A106"/>
    <mergeCell ref="U103:V105"/>
    <mergeCell ref="G104:H105"/>
    <mergeCell ref="I104:J105"/>
    <mergeCell ref="K104:L105"/>
    <mergeCell ref="B103:B106"/>
    <mergeCell ref="C103:C106"/>
    <mergeCell ref="O103:P105"/>
    <mergeCell ref="A118:A119"/>
    <mergeCell ref="B118:B119"/>
    <mergeCell ref="B101:N101"/>
    <mergeCell ref="B102:N102"/>
    <mergeCell ref="F103:F106"/>
    <mergeCell ref="M103:N105"/>
    <mergeCell ref="E103:E106"/>
    <mergeCell ref="G103:L103"/>
    <mergeCell ref="B133:C133"/>
    <mergeCell ref="B121:C121"/>
    <mergeCell ref="B123:C123"/>
    <mergeCell ref="B125:C125"/>
    <mergeCell ref="B127:C127"/>
    <mergeCell ref="B129:C129"/>
    <mergeCell ref="B130:B132"/>
    <mergeCell ref="A22:B22"/>
    <mergeCell ref="B115:C115"/>
    <mergeCell ref="B117:C117"/>
    <mergeCell ref="A9:V9"/>
    <mergeCell ref="C18:D18"/>
    <mergeCell ref="B108:C108"/>
    <mergeCell ref="A12:V12"/>
    <mergeCell ref="C22:D22"/>
    <mergeCell ref="A14:B14"/>
    <mergeCell ref="B74:N74"/>
    <mergeCell ref="A130:A132"/>
    <mergeCell ref="C11:D11"/>
    <mergeCell ref="B111:C111"/>
    <mergeCell ref="A18:B19"/>
    <mergeCell ref="A23:V23"/>
    <mergeCell ref="C26:D26"/>
    <mergeCell ref="A27:V27"/>
    <mergeCell ref="C40:D40"/>
    <mergeCell ref="C19:D19"/>
    <mergeCell ref="C43:D43"/>
    <mergeCell ref="A40:B40"/>
    <mergeCell ref="C36:D36"/>
    <mergeCell ref="A36:B36"/>
    <mergeCell ref="A26:B26"/>
    <mergeCell ref="C31:D31"/>
    <mergeCell ref="A37:V37"/>
    <mergeCell ref="A32:V32"/>
    <mergeCell ref="A30:B31"/>
    <mergeCell ref="C30:D30"/>
  </mergeCells>
  <printOptions/>
  <pageMargins left="0.2362204724409449" right="0.1968503937007874" top="0.1968503937007874" bottom="0.2362204724409449" header="0.15748031496062992" footer="0.15748031496062992"/>
  <pageSetup horizontalDpi="600" verticalDpi="600" orientation="landscape" paperSize="9" scale="85" r:id="rId1"/>
  <rowBreaks count="2" manualBreakCount="2">
    <brk id="22" max="21" man="1"/>
    <brk id="36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showZeros="0" view="pageBreakPreview" zoomScaleSheetLayoutView="100" zoomScalePageLayoutView="0" workbookViewId="0" topLeftCell="A1">
      <selection activeCell="A60" sqref="A60:IV60"/>
    </sheetView>
  </sheetViews>
  <sheetFormatPr defaultColWidth="9.00390625" defaultRowHeight="12.75"/>
  <cols>
    <col min="1" max="1" width="25.50390625" style="0" customWidth="1"/>
    <col min="2" max="2" width="8.50390625" style="0" customWidth="1"/>
    <col min="3" max="3" width="18.875" style="0" customWidth="1"/>
    <col min="4" max="4" width="9.50390625" style="0" customWidth="1"/>
    <col min="5" max="5" width="10.125" style="0" customWidth="1"/>
    <col min="6" max="6" width="6.00390625" style="0" customWidth="1"/>
    <col min="7" max="7" width="7.625" style="0" customWidth="1"/>
    <col min="8" max="8" width="5.375" style="0" customWidth="1"/>
    <col min="9" max="9" width="7.00390625" style="0" customWidth="1"/>
    <col min="10" max="10" width="5.125" style="0" customWidth="1"/>
    <col min="11" max="11" width="7.375" style="0" customWidth="1"/>
    <col min="12" max="12" width="5.125" style="0" customWidth="1"/>
    <col min="13" max="13" width="7.00390625" style="0" customWidth="1"/>
    <col min="14" max="14" width="4.875" style="0" customWidth="1"/>
    <col min="15" max="15" width="7.125" style="0" customWidth="1"/>
    <col min="16" max="16" width="5.375" style="0" customWidth="1"/>
    <col min="17" max="17" width="6.50390625" style="0" customWidth="1"/>
    <col min="18" max="18" width="5.375" style="0" customWidth="1"/>
    <col min="19" max="19" width="7.50390625" style="0" customWidth="1"/>
    <col min="20" max="20" width="5.375" style="0" customWidth="1"/>
    <col min="21" max="21" width="7.875" style="0" customWidth="1"/>
  </cols>
  <sheetData>
    <row r="1" spans="1:21" s="1" customFormat="1" ht="18" customHeight="1">
      <c r="A1" s="326" t="s">
        <v>162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s="1" customFormat="1" ht="15.75" customHeight="1" thickBot="1">
      <c r="A2" s="327" t="s">
        <v>161</v>
      </c>
      <c r="B2" s="327"/>
      <c r="C2" s="327"/>
      <c r="D2" s="327"/>
      <c r="E2" s="327"/>
      <c r="F2" s="327"/>
      <c r="G2" s="327"/>
      <c r="H2" s="327"/>
      <c r="I2" s="328"/>
      <c r="J2" s="327"/>
      <c r="K2" s="328"/>
      <c r="L2" s="327"/>
      <c r="M2" s="328"/>
      <c r="N2" s="327"/>
      <c r="O2" s="328"/>
      <c r="P2" s="327"/>
      <c r="Q2" s="328"/>
      <c r="R2" s="327"/>
      <c r="S2" s="328"/>
      <c r="T2" s="327"/>
      <c r="U2" s="328"/>
    </row>
    <row r="3" spans="1:21" s="2" customFormat="1" ht="12.75" customHeight="1">
      <c r="A3" s="336" t="s">
        <v>33</v>
      </c>
      <c r="B3" s="224" t="s">
        <v>22</v>
      </c>
      <c r="C3" s="220" t="s">
        <v>47</v>
      </c>
      <c r="D3" s="224" t="s">
        <v>51</v>
      </c>
      <c r="E3" s="224" t="s">
        <v>52</v>
      </c>
      <c r="F3" s="323" t="s">
        <v>36</v>
      </c>
      <c r="G3" s="323"/>
      <c r="H3" s="323"/>
      <c r="I3" s="324"/>
      <c r="J3" s="323"/>
      <c r="K3" s="324"/>
      <c r="L3" s="224" t="s">
        <v>3</v>
      </c>
      <c r="M3" s="320"/>
      <c r="N3" s="224" t="s">
        <v>23</v>
      </c>
      <c r="O3" s="320"/>
      <c r="P3" s="224" t="s">
        <v>24</v>
      </c>
      <c r="Q3" s="329"/>
      <c r="R3" s="224" t="s">
        <v>25</v>
      </c>
      <c r="S3" s="320"/>
      <c r="T3" s="224" t="s">
        <v>26</v>
      </c>
      <c r="U3" s="332"/>
    </row>
    <row r="4" spans="1:21" s="2" customFormat="1" ht="12.75">
      <c r="A4" s="337"/>
      <c r="B4" s="247"/>
      <c r="C4" s="318"/>
      <c r="D4" s="247"/>
      <c r="E4" s="247"/>
      <c r="F4" s="311" t="s">
        <v>27</v>
      </c>
      <c r="G4" s="311"/>
      <c r="H4" s="311" t="s">
        <v>28</v>
      </c>
      <c r="I4" s="335"/>
      <c r="J4" s="311" t="s">
        <v>29</v>
      </c>
      <c r="K4" s="335"/>
      <c r="L4" s="247"/>
      <c r="M4" s="321"/>
      <c r="N4" s="247"/>
      <c r="O4" s="321"/>
      <c r="P4" s="247"/>
      <c r="Q4" s="330"/>
      <c r="R4" s="247"/>
      <c r="S4" s="321"/>
      <c r="T4" s="247"/>
      <c r="U4" s="333"/>
    </row>
    <row r="5" spans="1:21" s="2" customFormat="1" ht="27" customHeight="1">
      <c r="A5" s="338"/>
      <c r="B5" s="247"/>
      <c r="C5" s="318"/>
      <c r="D5" s="247"/>
      <c r="E5" s="247"/>
      <c r="F5" s="311"/>
      <c r="G5" s="311"/>
      <c r="H5" s="311"/>
      <c r="I5" s="335"/>
      <c r="J5" s="311"/>
      <c r="K5" s="335"/>
      <c r="L5" s="222"/>
      <c r="M5" s="322"/>
      <c r="N5" s="222"/>
      <c r="O5" s="322"/>
      <c r="P5" s="222"/>
      <c r="Q5" s="331"/>
      <c r="R5" s="222"/>
      <c r="S5" s="322"/>
      <c r="T5" s="222"/>
      <c r="U5" s="334"/>
    </row>
    <row r="6" spans="1:21" s="2" customFormat="1" ht="14.25" customHeight="1" thickBot="1">
      <c r="A6" s="339"/>
      <c r="B6" s="222"/>
      <c r="C6" s="278"/>
      <c r="D6" s="222"/>
      <c r="E6" s="222"/>
      <c r="F6" s="17" t="s">
        <v>4</v>
      </c>
      <c r="G6" s="17" t="s">
        <v>5</v>
      </c>
      <c r="H6" s="17" t="s">
        <v>4</v>
      </c>
      <c r="I6" s="42" t="s">
        <v>5</v>
      </c>
      <c r="J6" s="17" t="s">
        <v>4</v>
      </c>
      <c r="K6" s="42" t="s">
        <v>5</v>
      </c>
      <c r="L6" s="39" t="s">
        <v>4</v>
      </c>
      <c r="M6" s="14" t="s">
        <v>5</v>
      </c>
      <c r="N6" s="39" t="s">
        <v>4</v>
      </c>
      <c r="O6" s="15" t="s">
        <v>5</v>
      </c>
      <c r="P6" s="39" t="s">
        <v>4</v>
      </c>
      <c r="Q6" s="14" t="s">
        <v>5</v>
      </c>
      <c r="R6" s="39" t="s">
        <v>4</v>
      </c>
      <c r="S6" s="14" t="s">
        <v>5</v>
      </c>
      <c r="T6" s="39" t="s">
        <v>4</v>
      </c>
      <c r="U6" s="16" t="s">
        <v>5</v>
      </c>
    </row>
    <row r="7" spans="1:21" s="2" customFormat="1" ht="13.5" thickBot="1">
      <c r="A7" s="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1">
        <v>9</v>
      </c>
      <c r="J7" s="10">
        <v>10</v>
      </c>
      <c r="K7" s="11">
        <v>11</v>
      </c>
      <c r="L7" s="10">
        <v>12</v>
      </c>
      <c r="M7" s="11">
        <v>13</v>
      </c>
      <c r="N7" s="10">
        <v>14</v>
      </c>
      <c r="O7" s="12">
        <v>15</v>
      </c>
      <c r="P7" s="10">
        <v>16</v>
      </c>
      <c r="Q7" s="11">
        <v>17</v>
      </c>
      <c r="R7" s="10">
        <v>18</v>
      </c>
      <c r="S7" s="11">
        <v>19</v>
      </c>
      <c r="T7" s="10">
        <v>20</v>
      </c>
      <c r="U7" s="13">
        <v>21</v>
      </c>
    </row>
    <row r="8" spans="1:21" s="29" customFormat="1" ht="22.5" customHeight="1" thickBot="1">
      <c r="A8" s="230" t="s">
        <v>56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s="2" customFormat="1" ht="27" customHeight="1" thickBot="1">
      <c r="A9" s="30" t="s">
        <v>127</v>
      </c>
      <c r="B9" s="176" t="s">
        <v>163</v>
      </c>
      <c r="C9" s="48" t="s">
        <v>41</v>
      </c>
      <c r="D9" s="35">
        <v>14</v>
      </c>
      <c r="E9" s="35">
        <v>14</v>
      </c>
      <c r="F9" s="35">
        <v>8</v>
      </c>
      <c r="G9" s="41">
        <f>F9/E9</f>
        <v>0.5714285714285714</v>
      </c>
      <c r="H9" s="35">
        <v>6</v>
      </c>
      <c r="I9" s="41">
        <f>H9/E9</f>
        <v>0.42857142857142855</v>
      </c>
      <c r="J9" s="35"/>
      <c r="K9" s="41">
        <f>J9/E9</f>
        <v>0</v>
      </c>
      <c r="L9" s="45"/>
      <c r="M9" s="41">
        <f>L9/E9</f>
        <v>0</v>
      </c>
      <c r="N9" s="45"/>
      <c r="O9" s="41">
        <f>N9/$E9</f>
        <v>0</v>
      </c>
      <c r="P9" s="45"/>
      <c r="Q9" s="41">
        <f>P9/$E9</f>
        <v>0</v>
      </c>
      <c r="R9" s="45">
        <v>14</v>
      </c>
      <c r="S9" s="41">
        <f>R9/$E9</f>
        <v>1</v>
      </c>
      <c r="T9" s="45">
        <v>14</v>
      </c>
      <c r="U9" s="40">
        <f>T9/$E9</f>
        <v>1</v>
      </c>
    </row>
    <row r="10" spans="1:21" s="19" customFormat="1" ht="21.75" customHeight="1" thickBot="1">
      <c r="A10" s="279" t="s">
        <v>42</v>
      </c>
      <c r="B10" s="293"/>
      <c r="C10" s="219"/>
      <c r="D10" s="36">
        <f aca="true" t="shared" si="0" ref="D10:F11">SUM(D9)</f>
        <v>14</v>
      </c>
      <c r="E10" s="36">
        <f t="shared" si="0"/>
        <v>14</v>
      </c>
      <c r="F10" s="36">
        <f t="shared" si="0"/>
        <v>8</v>
      </c>
      <c r="G10" s="33">
        <f>F10/E10</f>
        <v>0.5714285714285714</v>
      </c>
      <c r="H10" s="36">
        <f>SUM(H9)</f>
        <v>6</v>
      </c>
      <c r="I10" s="33">
        <f>H10/E10</f>
        <v>0.42857142857142855</v>
      </c>
      <c r="J10" s="36">
        <f>SUM(J9)</f>
        <v>0</v>
      </c>
      <c r="K10" s="33">
        <f>J10/E10</f>
        <v>0</v>
      </c>
      <c r="L10" s="46">
        <f>SUM(L9)</f>
        <v>0</v>
      </c>
      <c r="M10" s="33">
        <f>L10/E10</f>
        <v>0</v>
      </c>
      <c r="N10" s="46">
        <f>SUM(N9)</f>
        <v>0</v>
      </c>
      <c r="O10" s="33">
        <f>N10/$E10</f>
        <v>0</v>
      </c>
      <c r="P10" s="46">
        <f>SUM(P9)</f>
        <v>0</v>
      </c>
      <c r="Q10" s="33">
        <f>P10/$E10</f>
        <v>0</v>
      </c>
      <c r="R10" s="46">
        <f>SUM(R9)</f>
        <v>14</v>
      </c>
      <c r="S10" s="33">
        <f>R10/$E10</f>
        <v>1</v>
      </c>
      <c r="T10" s="46">
        <f>SUM(T9)</f>
        <v>14</v>
      </c>
      <c r="U10" s="34">
        <f>T10/$E10</f>
        <v>1</v>
      </c>
    </row>
    <row r="11" spans="1:21" s="29" customFormat="1" ht="20.25" customHeight="1" thickBot="1">
      <c r="A11" s="230" t="s">
        <v>43</v>
      </c>
      <c r="B11" s="231"/>
      <c r="C11" s="325"/>
      <c r="D11" s="28">
        <f t="shared" si="0"/>
        <v>14</v>
      </c>
      <c r="E11" s="28">
        <f t="shared" si="0"/>
        <v>14</v>
      </c>
      <c r="F11" s="28">
        <f t="shared" si="0"/>
        <v>8</v>
      </c>
      <c r="G11" s="33">
        <f>F11/E11</f>
        <v>0.5714285714285714</v>
      </c>
      <c r="H11" s="28">
        <f>SUM(H10)</f>
        <v>6</v>
      </c>
      <c r="I11" s="33">
        <f>H11/E11</f>
        <v>0.42857142857142855</v>
      </c>
      <c r="J11" s="28">
        <f>SUM(J10)</f>
        <v>0</v>
      </c>
      <c r="K11" s="33">
        <f>J11/E11</f>
        <v>0</v>
      </c>
      <c r="L11" s="28">
        <f>SUM(L10)</f>
        <v>0</v>
      </c>
      <c r="M11" s="33">
        <f>L11/E11</f>
        <v>0</v>
      </c>
      <c r="N11" s="28">
        <f>SUM(N10)</f>
        <v>0</v>
      </c>
      <c r="O11" s="33">
        <f>N11/$E11</f>
        <v>0</v>
      </c>
      <c r="P11" s="28">
        <f>SUM(P10)</f>
        <v>0</v>
      </c>
      <c r="Q11" s="33">
        <f>P11/$E11</f>
        <v>0</v>
      </c>
      <c r="R11" s="28">
        <f>SUM(R10)</f>
        <v>14</v>
      </c>
      <c r="S11" s="33">
        <f>R11/$E11</f>
        <v>1</v>
      </c>
      <c r="T11" s="28">
        <f>SUM(T10)</f>
        <v>14</v>
      </c>
      <c r="U11" s="34">
        <f>T11/$E11</f>
        <v>1</v>
      </c>
    </row>
    <row r="12" spans="1:21" s="2" customFormat="1" ht="15.75" customHeight="1">
      <c r="A12" s="47" t="s">
        <v>158</v>
      </c>
      <c r="I12" s="8"/>
      <c r="K12" s="8"/>
      <c r="M12" s="8"/>
      <c r="O12" s="8"/>
      <c r="Q12" s="8"/>
      <c r="S12" s="8"/>
      <c r="U12" s="8"/>
    </row>
    <row r="13" spans="1:21" s="2" customFormat="1" ht="15.75" customHeight="1">
      <c r="A13" s="47"/>
      <c r="I13" s="8"/>
      <c r="K13" s="8"/>
      <c r="M13" s="8"/>
      <c r="O13" s="8"/>
      <c r="Q13" s="8"/>
      <c r="S13" s="8"/>
      <c r="U13" s="8"/>
    </row>
    <row r="14" spans="1:21" s="2" customFormat="1" ht="15.75" customHeight="1">
      <c r="A14" s="47"/>
      <c r="I14" s="8"/>
      <c r="K14" s="8"/>
      <c r="M14" s="8"/>
      <c r="O14" s="8"/>
      <c r="Q14" s="8"/>
      <c r="S14" s="8"/>
      <c r="U14" s="8"/>
    </row>
    <row r="15" spans="1:21" s="2" customFormat="1" ht="18">
      <c r="A15" s="306" t="s">
        <v>45</v>
      </c>
      <c r="B15" s="306"/>
      <c r="C15" s="306"/>
      <c r="D15" s="306"/>
      <c r="E15" s="306"/>
      <c r="F15" s="306"/>
      <c r="G15" s="306"/>
      <c r="H15" s="306"/>
      <c r="I15" s="319"/>
      <c r="J15" s="306"/>
      <c r="K15" s="319"/>
      <c r="L15" s="306"/>
      <c r="M15" s="319"/>
      <c r="N15" s="306"/>
      <c r="O15" s="319"/>
      <c r="P15" s="306"/>
      <c r="Q15" s="319"/>
      <c r="R15" s="306"/>
      <c r="S15" s="319"/>
      <c r="T15" s="306"/>
      <c r="U15" s="319"/>
    </row>
    <row r="16" s="2" customFormat="1" ht="7.5" customHeight="1"/>
    <row r="17" s="2" customFormat="1" ht="7.5" customHeight="1"/>
    <row r="18" s="2" customFormat="1" ht="7.5" customHeight="1"/>
    <row r="19" s="2" customFormat="1" ht="7.5" customHeight="1"/>
    <row r="20" s="2" customFormat="1" ht="7.5" customHeight="1"/>
    <row r="21" s="2" customFormat="1" ht="7.5" customHeight="1"/>
    <row r="22" s="2" customFormat="1" ht="7.5" customHeight="1"/>
    <row r="23" s="2" customFormat="1" ht="7.5" customHeight="1"/>
    <row r="24" s="2" customFormat="1" ht="7.5" customHeight="1"/>
    <row r="25" s="2" customFormat="1" ht="7.5" customHeight="1"/>
    <row r="26" s="2" customFormat="1" ht="7.5" customHeight="1"/>
    <row r="27" s="2" customFormat="1" ht="7.5" customHeight="1"/>
    <row r="28" s="2" customFormat="1" ht="7.5" customHeight="1"/>
    <row r="29" s="2" customFormat="1" ht="7.5" customHeight="1"/>
    <row r="30" s="2" customFormat="1" ht="7.5" customHeight="1"/>
    <row r="31" s="2" customFormat="1" ht="7.5" customHeight="1"/>
    <row r="32" s="2" customFormat="1" ht="7.5" customHeight="1"/>
    <row r="33" s="2" customFormat="1" ht="7.5" customHeight="1"/>
    <row r="34" s="2" customFormat="1" ht="7.5" customHeight="1"/>
    <row r="35" s="2" customFormat="1" ht="7.5" customHeight="1"/>
    <row r="36" s="2" customFormat="1" ht="7.5" customHeight="1"/>
    <row r="37" s="2" customFormat="1" ht="7.5" customHeight="1"/>
    <row r="38" s="2" customFormat="1" ht="7.5" customHeight="1"/>
    <row r="39" s="2" customFormat="1" ht="7.5" customHeight="1"/>
    <row r="40" s="2" customFormat="1" ht="7.5" customHeight="1"/>
    <row r="41" s="2" customFormat="1" ht="7.5" customHeight="1"/>
    <row r="42" s="2" customFormat="1" ht="7.5" customHeight="1"/>
    <row r="43" s="2" customFormat="1" ht="7.5" customHeight="1"/>
    <row r="44" s="2" customFormat="1" ht="7.5" customHeight="1"/>
    <row r="45" s="2" customFormat="1" ht="7.5" customHeight="1"/>
    <row r="46" s="2" customFormat="1" ht="7.5" customHeight="1"/>
    <row r="47" s="2" customFormat="1" ht="7.5" customHeight="1"/>
    <row r="48" s="2" customFormat="1" ht="7.5" customHeight="1"/>
    <row r="49" s="2" customFormat="1" ht="7.5" customHeight="1"/>
    <row r="50" s="2" customFormat="1" ht="7.5" customHeight="1"/>
    <row r="51" s="2" customFormat="1" ht="7.5" customHeight="1"/>
    <row r="52" s="2" customFormat="1" ht="7.5" customHeight="1"/>
    <row r="53" s="2" customFormat="1" ht="7.5" customHeight="1"/>
    <row r="54" s="2" customFormat="1" ht="7.5" customHeight="1"/>
    <row r="55" s="2" customFormat="1" ht="7.5" customHeight="1"/>
    <row r="56" s="2" customFormat="1" ht="7.5" customHeight="1"/>
    <row r="57" s="2" customFormat="1" ht="7.5" customHeight="1"/>
    <row r="58" s="2" customFormat="1" ht="7.5" customHeight="1"/>
    <row r="59" s="2" customFormat="1" ht="7.5" customHeight="1"/>
    <row r="60" s="2" customFormat="1" ht="7.5" customHeight="1"/>
    <row r="61" s="2" customFormat="1" ht="7.5" customHeight="1"/>
    <row r="62" s="2" customFormat="1" ht="7.5" customHeight="1"/>
    <row r="63" s="2" customFormat="1" ht="7.5" customHeight="1"/>
    <row r="64" s="2" customFormat="1" ht="7.5" customHeight="1"/>
    <row r="65" s="2" customFormat="1" ht="7.5" customHeight="1"/>
    <row r="66" s="2" customFormat="1" ht="12.75">
      <c r="A66" s="2" t="s">
        <v>34</v>
      </c>
    </row>
    <row r="67" s="2" customFormat="1" ht="12.75">
      <c r="A67" s="2" t="s">
        <v>37</v>
      </c>
    </row>
    <row r="68" s="2" customFormat="1" ht="12.75">
      <c r="A68" s="2" t="s">
        <v>35</v>
      </c>
    </row>
    <row r="69" ht="12.75">
      <c r="K69" s="2"/>
    </row>
    <row r="70" ht="12.75">
      <c r="K70" s="2"/>
    </row>
    <row r="71" ht="12.75"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</sheetData>
  <sheetProtection/>
  <mergeCells count="20">
    <mergeCell ref="A1:U1"/>
    <mergeCell ref="A2:U2"/>
    <mergeCell ref="P3:Q5"/>
    <mergeCell ref="R3:S5"/>
    <mergeCell ref="T3:U5"/>
    <mergeCell ref="F4:G5"/>
    <mergeCell ref="D3:D6"/>
    <mergeCell ref="H4:I5"/>
    <mergeCell ref="J4:K5"/>
    <mergeCell ref="A3:A6"/>
    <mergeCell ref="A15:U15"/>
    <mergeCell ref="L3:M5"/>
    <mergeCell ref="N3:O5"/>
    <mergeCell ref="C3:C6"/>
    <mergeCell ref="A10:C10"/>
    <mergeCell ref="E3:E6"/>
    <mergeCell ref="F3:K3"/>
    <mergeCell ref="A11:C11"/>
    <mergeCell ref="A8:U8"/>
    <mergeCell ref="B3:B6"/>
  </mergeCells>
  <printOptions horizontalCentered="1"/>
  <pageMargins left="0.1968503937007874" right="0.1968503937007874" top="0.19" bottom="0.1968503937007874" header="0.17" footer="0.16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SheetLayoutView="100" zoomScalePageLayoutView="0" workbookViewId="0" topLeftCell="A1">
      <selection activeCell="A12" sqref="A12:U12"/>
    </sheetView>
  </sheetViews>
  <sheetFormatPr defaultColWidth="9.00390625" defaultRowHeight="12.75"/>
  <cols>
    <col min="1" max="1" width="25.50390625" style="0" customWidth="1"/>
    <col min="2" max="2" width="8.50390625" style="0" customWidth="1"/>
    <col min="3" max="3" width="18.875" style="0" customWidth="1"/>
    <col min="4" max="5" width="8.875" style="0" customWidth="1"/>
    <col min="6" max="6" width="5.375" style="0" customWidth="1"/>
    <col min="7" max="7" width="8.50390625" style="0" customWidth="1"/>
    <col min="8" max="8" width="5.375" style="0" customWidth="1"/>
    <col min="9" max="9" width="7.00390625" style="0" customWidth="1"/>
    <col min="10" max="10" width="5.125" style="0" customWidth="1"/>
    <col min="11" max="11" width="7.375" style="0" customWidth="1"/>
    <col min="12" max="12" width="5.125" style="0" customWidth="1"/>
    <col min="13" max="13" width="8.875" style="0" customWidth="1"/>
    <col min="14" max="14" width="4.875" style="0" customWidth="1"/>
    <col min="15" max="15" width="7.125" style="0" customWidth="1"/>
    <col min="16" max="16" width="4.50390625" style="0" customWidth="1"/>
    <col min="17" max="17" width="7.625" style="0" customWidth="1"/>
    <col min="18" max="18" width="4.625" style="0" customWidth="1"/>
    <col min="19" max="19" width="7.625" style="0" customWidth="1"/>
    <col min="20" max="20" width="4.125" style="0" customWidth="1"/>
    <col min="21" max="21" width="7.875" style="0" customWidth="1"/>
  </cols>
  <sheetData>
    <row r="1" spans="1:21" s="1" customFormat="1" ht="18" customHeight="1">
      <c r="A1" s="326" t="s">
        <v>129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s="1" customFormat="1" ht="15.75" customHeight="1" thickBot="1">
      <c r="A2" s="327" t="s">
        <v>148</v>
      </c>
      <c r="B2" s="327"/>
      <c r="C2" s="327"/>
      <c r="D2" s="327"/>
      <c r="E2" s="327"/>
      <c r="F2" s="327"/>
      <c r="G2" s="327"/>
      <c r="H2" s="327"/>
      <c r="I2" s="328"/>
      <c r="J2" s="327"/>
      <c r="K2" s="328"/>
      <c r="L2" s="327"/>
      <c r="M2" s="328"/>
      <c r="N2" s="327"/>
      <c r="O2" s="328"/>
      <c r="P2" s="327"/>
      <c r="Q2" s="328"/>
      <c r="R2" s="327"/>
      <c r="S2" s="328"/>
      <c r="T2" s="327"/>
      <c r="U2" s="328"/>
    </row>
    <row r="3" spans="1:21" s="2" customFormat="1" ht="12.75" customHeight="1">
      <c r="A3" s="336" t="s">
        <v>33</v>
      </c>
      <c r="B3" s="224" t="s">
        <v>22</v>
      </c>
      <c r="C3" s="220" t="s">
        <v>47</v>
      </c>
      <c r="D3" s="224" t="s">
        <v>51</v>
      </c>
      <c r="E3" s="224" t="s">
        <v>52</v>
      </c>
      <c r="F3" s="323" t="s">
        <v>36</v>
      </c>
      <c r="G3" s="323"/>
      <c r="H3" s="323"/>
      <c r="I3" s="324"/>
      <c r="J3" s="323"/>
      <c r="K3" s="324"/>
      <c r="L3" s="224" t="s">
        <v>3</v>
      </c>
      <c r="M3" s="320"/>
      <c r="N3" s="224" t="s">
        <v>23</v>
      </c>
      <c r="O3" s="320"/>
      <c r="P3" s="224" t="s">
        <v>24</v>
      </c>
      <c r="Q3" s="329"/>
      <c r="R3" s="224" t="s">
        <v>25</v>
      </c>
      <c r="S3" s="320"/>
      <c r="T3" s="224" t="s">
        <v>26</v>
      </c>
      <c r="U3" s="332"/>
    </row>
    <row r="4" spans="1:21" s="2" customFormat="1" ht="12.75">
      <c r="A4" s="337"/>
      <c r="B4" s="247"/>
      <c r="C4" s="318"/>
      <c r="D4" s="247"/>
      <c r="E4" s="247"/>
      <c r="F4" s="311" t="s">
        <v>27</v>
      </c>
      <c r="G4" s="311"/>
      <c r="H4" s="311" t="s">
        <v>28</v>
      </c>
      <c r="I4" s="335"/>
      <c r="J4" s="311" t="s">
        <v>29</v>
      </c>
      <c r="K4" s="335"/>
      <c r="L4" s="247"/>
      <c r="M4" s="321"/>
      <c r="N4" s="247"/>
      <c r="O4" s="321"/>
      <c r="P4" s="247"/>
      <c r="Q4" s="330"/>
      <c r="R4" s="247"/>
      <c r="S4" s="321"/>
      <c r="T4" s="247"/>
      <c r="U4" s="333"/>
    </row>
    <row r="5" spans="1:21" s="2" customFormat="1" ht="27" customHeight="1">
      <c r="A5" s="338"/>
      <c r="B5" s="247"/>
      <c r="C5" s="318"/>
      <c r="D5" s="247"/>
      <c r="E5" s="247"/>
      <c r="F5" s="311"/>
      <c r="G5" s="311"/>
      <c r="H5" s="311"/>
      <c r="I5" s="335"/>
      <c r="J5" s="311"/>
      <c r="K5" s="335"/>
      <c r="L5" s="222"/>
      <c r="M5" s="322"/>
      <c r="N5" s="222"/>
      <c r="O5" s="322"/>
      <c r="P5" s="222"/>
      <c r="Q5" s="331"/>
      <c r="R5" s="222"/>
      <c r="S5" s="322"/>
      <c r="T5" s="222"/>
      <c r="U5" s="334"/>
    </row>
    <row r="6" spans="1:21" s="2" customFormat="1" ht="14.25" customHeight="1" thickBot="1">
      <c r="A6" s="339"/>
      <c r="B6" s="222"/>
      <c r="C6" s="278"/>
      <c r="D6" s="222"/>
      <c r="E6" s="222"/>
      <c r="F6" s="17" t="s">
        <v>4</v>
      </c>
      <c r="G6" s="17" t="s">
        <v>5</v>
      </c>
      <c r="H6" s="17" t="s">
        <v>4</v>
      </c>
      <c r="I6" s="42" t="s">
        <v>5</v>
      </c>
      <c r="J6" s="17" t="s">
        <v>4</v>
      </c>
      <c r="K6" s="42" t="s">
        <v>5</v>
      </c>
      <c r="L6" s="39" t="s">
        <v>4</v>
      </c>
      <c r="M6" s="14" t="s">
        <v>5</v>
      </c>
      <c r="N6" s="39" t="s">
        <v>4</v>
      </c>
      <c r="O6" s="15" t="s">
        <v>5</v>
      </c>
      <c r="P6" s="39" t="s">
        <v>4</v>
      </c>
      <c r="Q6" s="14" t="s">
        <v>5</v>
      </c>
      <c r="R6" s="39" t="s">
        <v>4</v>
      </c>
      <c r="S6" s="14" t="s">
        <v>5</v>
      </c>
      <c r="T6" s="39" t="s">
        <v>4</v>
      </c>
      <c r="U6" s="16" t="s">
        <v>5</v>
      </c>
    </row>
    <row r="7" spans="1:21" s="2" customFormat="1" ht="13.5" thickBot="1">
      <c r="A7" s="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1">
        <v>9</v>
      </c>
      <c r="J7" s="10">
        <v>10</v>
      </c>
      <c r="K7" s="11">
        <v>11</v>
      </c>
      <c r="L7" s="10">
        <v>12</v>
      </c>
      <c r="M7" s="11">
        <v>13</v>
      </c>
      <c r="N7" s="10">
        <v>14</v>
      </c>
      <c r="O7" s="12">
        <v>15</v>
      </c>
      <c r="P7" s="10">
        <v>16</v>
      </c>
      <c r="Q7" s="11">
        <v>17</v>
      </c>
      <c r="R7" s="10">
        <v>18</v>
      </c>
      <c r="S7" s="11">
        <v>19</v>
      </c>
      <c r="T7" s="10">
        <v>20</v>
      </c>
      <c r="U7" s="13">
        <v>21</v>
      </c>
    </row>
    <row r="8" spans="1:21" s="29" customFormat="1" ht="17.25" customHeight="1" thickBot="1">
      <c r="A8" s="230" t="s">
        <v>55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s="2" customFormat="1" ht="26.25" customHeight="1" thickBot="1">
      <c r="A9" s="343" t="s">
        <v>152</v>
      </c>
      <c r="B9" s="70" t="s">
        <v>14</v>
      </c>
      <c r="C9" s="48" t="s">
        <v>41</v>
      </c>
      <c r="D9" s="92">
        <v>12</v>
      </c>
      <c r="E9" s="92">
        <v>12</v>
      </c>
      <c r="F9" s="7">
        <v>4</v>
      </c>
      <c r="G9" s="20">
        <f>F9/E9</f>
        <v>0.3333333333333333</v>
      </c>
      <c r="H9" s="7">
        <v>5</v>
      </c>
      <c r="I9" s="20">
        <f>H9/E9</f>
        <v>0.4166666666666667</v>
      </c>
      <c r="J9" s="7">
        <v>3</v>
      </c>
      <c r="K9" s="20">
        <f>J9/E9</f>
        <v>0.25</v>
      </c>
      <c r="L9" s="7"/>
      <c r="M9" s="20">
        <f>L9/E9</f>
        <v>0</v>
      </c>
      <c r="N9" s="7"/>
      <c r="O9" s="20">
        <f>N9/$E9</f>
        <v>0</v>
      </c>
      <c r="P9" s="7">
        <v>12</v>
      </c>
      <c r="Q9" s="20">
        <f>P9/$E9</f>
        <v>1</v>
      </c>
      <c r="R9" s="7">
        <v>2</v>
      </c>
      <c r="S9" s="20">
        <f>R9/$E9</f>
        <v>0.16666666666666666</v>
      </c>
      <c r="T9" s="7"/>
      <c r="U9" s="21">
        <f>T9/$E9</f>
        <v>0</v>
      </c>
    </row>
    <row r="10" spans="1:21" s="2" customFormat="1" ht="21.75" customHeight="1" thickBot="1">
      <c r="A10" s="344"/>
      <c r="B10" s="341" t="s">
        <v>15</v>
      </c>
      <c r="C10" s="342"/>
      <c r="D10" s="93">
        <f aca="true" t="shared" si="0" ref="D10:F11">SUM(D9)</f>
        <v>12</v>
      </c>
      <c r="E10" s="93">
        <f t="shared" si="0"/>
        <v>12</v>
      </c>
      <c r="F10" s="78">
        <f t="shared" si="0"/>
        <v>4</v>
      </c>
      <c r="G10" s="76">
        <f>F10/E10</f>
        <v>0.3333333333333333</v>
      </c>
      <c r="H10" s="78">
        <f>SUM(H9)</f>
        <v>5</v>
      </c>
      <c r="I10" s="76">
        <f>H10/E10</f>
        <v>0.4166666666666667</v>
      </c>
      <c r="J10" s="78">
        <f>SUM(J9)</f>
        <v>3</v>
      </c>
      <c r="K10" s="76">
        <f>J10/E10</f>
        <v>0.25</v>
      </c>
      <c r="L10" s="78"/>
      <c r="M10" s="76">
        <f>L10/E10</f>
        <v>0</v>
      </c>
      <c r="N10" s="78"/>
      <c r="O10" s="76">
        <f>N10/$E10</f>
        <v>0</v>
      </c>
      <c r="P10" s="78">
        <f>SUM(P9)</f>
        <v>12</v>
      </c>
      <c r="Q10" s="76">
        <f>P10/$E10</f>
        <v>1</v>
      </c>
      <c r="R10" s="78">
        <f>SUM(R9)</f>
        <v>2</v>
      </c>
      <c r="S10" s="76">
        <f>R10/$E10</f>
        <v>0.16666666666666666</v>
      </c>
      <c r="T10" s="78">
        <v>12</v>
      </c>
      <c r="U10" s="94">
        <f>T10/$E10</f>
        <v>1</v>
      </c>
    </row>
    <row r="11" spans="1:21" s="19" customFormat="1" ht="21.75" customHeight="1" thickBot="1">
      <c r="A11" s="279" t="s">
        <v>42</v>
      </c>
      <c r="B11" s="293"/>
      <c r="C11" s="219"/>
      <c r="D11" s="31">
        <f t="shared" si="0"/>
        <v>12</v>
      </c>
      <c r="E11" s="31">
        <f t="shared" si="0"/>
        <v>12</v>
      </c>
      <c r="F11" s="32">
        <f t="shared" si="0"/>
        <v>4</v>
      </c>
      <c r="G11" s="33">
        <f>F11/E11</f>
        <v>0.3333333333333333</v>
      </c>
      <c r="H11" s="32">
        <f>SUM(H10)</f>
        <v>5</v>
      </c>
      <c r="I11" s="33">
        <f>H11/E11</f>
        <v>0.4166666666666667</v>
      </c>
      <c r="J11" s="32">
        <f>SUM(J10)</f>
        <v>3</v>
      </c>
      <c r="K11" s="33">
        <f>J11/E11</f>
        <v>0.25</v>
      </c>
      <c r="L11" s="32"/>
      <c r="M11" s="33">
        <f>L11/E11</f>
        <v>0</v>
      </c>
      <c r="N11" s="32"/>
      <c r="O11" s="33">
        <f>N11/$E11</f>
        <v>0</v>
      </c>
      <c r="P11" s="32">
        <f>SUM(P10)</f>
        <v>12</v>
      </c>
      <c r="Q11" s="33">
        <f>P11/$E11</f>
        <v>1</v>
      </c>
      <c r="R11" s="32">
        <f>SUM(R10)</f>
        <v>2</v>
      </c>
      <c r="S11" s="22">
        <f>R11/$E11</f>
        <v>0.16666666666666666</v>
      </c>
      <c r="T11" s="32">
        <f>SUM(T10)</f>
        <v>12</v>
      </c>
      <c r="U11" s="34">
        <f>T11/$E11</f>
        <v>1</v>
      </c>
    </row>
    <row r="12" spans="1:21" s="29" customFormat="1" ht="17.25" customHeight="1" thickBot="1">
      <c r="A12" s="230" t="s">
        <v>105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2"/>
    </row>
    <row r="13" spans="1:21" s="2" customFormat="1" ht="25.5" customHeight="1">
      <c r="A13" s="345" t="s">
        <v>128</v>
      </c>
      <c r="B13" s="346" t="s">
        <v>14</v>
      </c>
      <c r="C13" s="49" t="s">
        <v>53</v>
      </c>
      <c r="D13" s="91">
        <v>73</v>
      </c>
      <c r="E13" s="91">
        <v>73</v>
      </c>
      <c r="F13" s="63">
        <v>51</v>
      </c>
      <c r="G13" s="9">
        <f>F13/E13</f>
        <v>0.6986301369863014</v>
      </c>
      <c r="H13" s="63">
        <v>22</v>
      </c>
      <c r="I13" s="9">
        <f>H13/E13</f>
        <v>0.3013698630136986</v>
      </c>
      <c r="J13" s="63"/>
      <c r="K13" s="9">
        <f>J13/E13</f>
        <v>0</v>
      </c>
      <c r="L13" s="63">
        <v>18</v>
      </c>
      <c r="M13" s="9">
        <f>L13/E13</f>
        <v>0.2465753424657534</v>
      </c>
      <c r="N13" s="63">
        <v>4</v>
      </c>
      <c r="O13" s="9">
        <f>N13/$E13</f>
        <v>0.0547945205479452</v>
      </c>
      <c r="P13" s="63"/>
      <c r="Q13" s="9">
        <f>P13/$E13</f>
        <v>0</v>
      </c>
      <c r="R13" s="63"/>
      <c r="S13" s="9">
        <f>R13/$E13</f>
        <v>0</v>
      </c>
      <c r="T13" s="63"/>
      <c r="U13" s="18">
        <f>T13/$E13</f>
        <v>0</v>
      </c>
    </row>
    <row r="14" spans="1:21" s="2" customFormat="1" ht="26.25" customHeight="1" thickBot="1">
      <c r="A14" s="345"/>
      <c r="B14" s="347"/>
      <c r="C14" s="48" t="s">
        <v>41</v>
      </c>
      <c r="D14" s="92">
        <v>73</v>
      </c>
      <c r="E14" s="92">
        <v>73</v>
      </c>
      <c r="F14" s="7">
        <v>54</v>
      </c>
      <c r="G14" s="20">
        <f>F14/E14</f>
        <v>0.7397260273972602</v>
      </c>
      <c r="H14" s="7">
        <v>19</v>
      </c>
      <c r="I14" s="20">
        <f>H14/E14</f>
        <v>0.2602739726027397</v>
      </c>
      <c r="J14" s="7"/>
      <c r="K14" s="20">
        <f>J14/E14</f>
        <v>0</v>
      </c>
      <c r="L14" s="7">
        <v>18</v>
      </c>
      <c r="M14" s="20">
        <f>L14/E14</f>
        <v>0.2465753424657534</v>
      </c>
      <c r="N14" s="7">
        <v>4</v>
      </c>
      <c r="O14" s="20">
        <f>N14/$E14</f>
        <v>0.0547945205479452</v>
      </c>
      <c r="P14" s="7"/>
      <c r="Q14" s="20">
        <f>P14/$E14</f>
        <v>0</v>
      </c>
      <c r="R14" s="7"/>
      <c r="S14" s="20">
        <f>R14/$E14</f>
        <v>0</v>
      </c>
      <c r="T14" s="7">
        <v>18</v>
      </c>
      <c r="U14" s="21">
        <f>T14/$E14</f>
        <v>0.2465753424657534</v>
      </c>
    </row>
    <row r="15" spans="1:21" s="2" customFormat="1" ht="21.75" customHeight="1" thickBot="1">
      <c r="A15" s="344"/>
      <c r="B15" s="341" t="s">
        <v>15</v>
      </c>
      <c r="C15" s="342"/>
      <c r="D15" s="93">
        <f aca="true" t="shared" si="1" ref="D15:F16">SUM(D14)</f>
        <v>73</v>
      </c>
      <c r="E15" s="93">
        <f t="shared" si="1"/>
        <v>73</v>
      </c>
      <c r="F15" s="78">
        <f t="shared" si="1"/>
        <v>54</v>
      </c>
      <c r="G15" s="76">
        <f>F15/E15</f>
        <v>0.7397260273972602</v>
      </c>
      <c r="H15" s="78">
        <f>SUM(H14)</f>
        <v>19</v>
      </c>
      <c r="I15" s="76">
        <f>H15/E15</f>
        <v>0.2602739726027397</v>
      </c>
      <c r="J15" s="78"/>
      <c r="K15" s="76">
        <f>J15/E15</f>
        <v>0</v>
      </c>
      <c r="L15" s="78">
        <f>SUM(L14)</f>
        <v>18</v>
      </c>
      <c r="M15" s="76">
        <f>L15/E15</f>
        <v>0.2465753424657534</v>
      </c>
      <c r="N15" s="78">
        <f>SUM(N14)</f>
        <v>4</v>
      </c>
      <c r="O15" s="76">
        <f>N15/$E15</f>
        <v>0.0547945205479452</v>
      </c>
      <c r="P15" s="78"/>
      <c r="Q15" s="76">
        <f>P15/$E15</f>
        <v>0</v>
      </c>
      <c r="R15" s="78"/>
      <c r="S15" s="76">
        <f>R15/$E15</f>
        <v>0</v>
      </c>
      <c r="T15" s="78">
        <f>SUM(T14)</f>
        <v>18</v>
      </c>
      <c r="U15" s="94">
        <f>T15/$E15</f>
        <v>0.2465753424657534</v>
      </c>
    </row>
    <row r="16" spans="1:21" s="19" customFormat="1" ht="21.75" customHeight="1" thickBot="1">
      <c r="A16" s="279" t="s">
        <v>42</v>
      </c>
      <c r="B16" s="293"/>
      <c r="C16" s="219"/>
      <c r="D16" s="31">
        <f t="shared" si="1"/>
        <v>73</v>
      </c>
      <c r="E16" s="31">
        <f t="shared" si="1"/>
        <v>73</v>
      </c>
      <c r="F16" s="32">
        <f t="shared" si="1"/>
        <v>54</v>
      </c>
      <c r="G16" s="33">
        <f>F16/E16</f>
        <v>0.7397260273972602</v>
      </c>
      <c r="H16" s="32">
        <f>SUM(H15)</f>
        <v>19</v>
      </c>
      <c r="I16" s="33">
        <f>H16/E16</f>
        <v>0.2602739726027397</v>
      </c>
      <c r="J16" s="32"/>
      <c r="K16" s="33">
        <f>J16/E16</f>
        <v>0</v>
      </c>
      <c r="L16" s="32">
        <f>SUM(L15)</f>
        <v>18</v>
      </c>
      <c r="M16" s="33">
        <f>L16/E16</f>
        <v>0.2465753424657534</v>
      </c>
      <c r="N16" s="32">
        <f>SUM(N15)</f>
        <v>4</v>
      </c>
      <c r="O16" s="33">
        <f>N16/$E16</f>
        <v>0.0547945205479452</v>
      </c>
      <c r="P16" s="32"/>
      <c r="Q16" s="33">
        <f>P16/$E16</f>
        <v>0</v>
      </c>
      <c r="R16" s="32"/>
      <c r="S16" s="22">
        <f>R16/$E16</f>
        <v>0</v>
      </c>
      <c r="T16" s="32">
        <f>SUM(T15)</f>
        <v>18</v>
      </c>
      <c r="U16" s="34">
        <f>T16/$E16</f>
        <v>0.2465753424657534</v>
      </c>
    </row>
    <row r="17" spans="1:21" s="19" customFormat="1" ht="21.75" customHeight="1" thickBot="1">
      <c r="A17" s="96" t="s">
        <v>43</v>
      </c>
      <c r="B17" s="340" t="s">
        <v>14</v>
      </c>
      <c r="C17" s="325"/>
      <c r="D17" s="31">
        <f>SUM(D11+D16)</f>
        <v>85</v>
      </c>
      <c r="E17" s="31">
        <f>SUM(E11+E16)</f>
        <v>85</v>
      </c>
      <c r="F17" s="32">
        <f>SUM(F11+F16)</f>
        <v>58</v>
      </c>
      <c r="G17" s="33">
        <f>F17/E17</f>
        <v>0.6823529411764706</v>
      </c>
      <c r="H17" s="32">
        <f>SUM(H11+H16)</f>
        <v>24</v>
      </c>
      <c r="I17" s="33">
        <v>0.283</v>
      </c>
      <c r="J17" s="32">
        <f>SUM(J11+J16)</f>
        <v>3</v>
      </c>
      <c r="K17" s="33">
        <f>J17/E17</f>
        <v>0.03529411764705882</v>
      </c>
      <c r="L17" s="32">
        <f>SUM(L11+L16)</f>
        <v>18</v>
      </c>
      <c r="M17" s="33">
        <f>L17/E17</f>
        <v>0.21176470588235294</v>
      </c>
      <c r="N17" s="32">
        <f>SUM(N11+N16)</f>
        <v>4</v>
      </c>
      <c r="O17" s="33">
        <f>N17/$E17</f>
        <v>0.047058823529411764</v>
      </c>
      <c r="P17" s="32">
        <f>SUM(P11+P16)</f>
        <v>12</v>
      </c>
      <c r="Q17" s="33">
        <f>P17/$E17</f>
        <v>0.1411764705882353</v>
      </c>
      <c r="R17" s="32">
        <f>SUM(R11+R16)</f>
        <v>2</v>
      </c>
      <c r="S17" s="33">
        <f>R17/$E17</f>
        <v>0.023529411764705882</v>
      </c>
      <c r="T17" s="32">
        <f>SUM(T11+T16)</f>
        <v>30</v>
      </c>
      <c r="U17" s="34">
        <f>T17/$E17</f>
        <v>0.35294117647058826</v>
      </c>
    </row>
    <row r="18" spans="1:21" s="2" customFormat="1" ht="15.75" customHeight="1">
      <c r="A18" s="47">
        <v>42921</v>
      </c>
      <c r="I18" s="8"/>
      <c r="K18" s="8"/>
      <c r="M18" s="8"/>
      <c r="O18" s="8"/>
      <c r="Q18" s="8"/>
      <c r="S18" s="8"/>
      <c r="U18" s="8"/>
    </row>
    <row r="19" spans="1:21" s="2" customFormat="1" ht="15.75" customHeight="1">
      <c r="A19" s="47"/>
      <c r="I19" s="8"/>
      <c r="K19" s="8"/>
      <c r="M19" s="8"/>
      <c r="O19" s="8"/>
      <c r="Q19" s="8"/>
      <c r="S19" s="8"/>
      <c r="U19" s="8"/>
    </row>
    <row r="20" spans="1:21" s="2" customFormat="1" ht="15.75" customHeight="1">
      <c r="A20" s="47"/>
      <c r="I20" s="8"/>
      <c r="K20" s="8"/>
      <c r="M20" s="8"/>
      <c r="O20" s="8"/>
      <c r="Q20" s="8"/>
      <c r="S20" s="8"/>
      <c r="U20" s="8"/>
    </row>
    <row r="21" spans="1:21" s="2" customFormat="1" ht="15.75" customHeight="1">
      <c r="A21" s="47"/>
      <c r="I21" s="8"/>
      <c r="K21" s="8"/>
      <c r="M21" s="8"/>
      <c r="O21" s="8"/>
      <c r="Q21" s="8"/>
      <c r="S21" s="8"/>
      <c r="U21" s="8"/>
    </row>
    <row r="22" spans="1:21" s="2" customFormat="1" ht="18">
      <c r="A22" s="306" t="s">
        <v>45</v>
      </c>
      <c r="B22" s="306"/>
      <c r="C22" s="306"/>
      <c r="D22" s="306"/>
      <c r="E22" s="306"/>
      <c r="F22" s="306"/>
      <c r="G22" s="306"/>
      <c r="H22" s="306"/>
      <c r="I22" s="319"/>
      <c r="J22" s="306"/>
      <c r="K22" s="319"/>
      <c r="L22" s="306"/>
      <c r="M22" s="319"/>
      <c r="N22" s="306"/>
      <c r="O22" s="319"/>
      <c r="P22" s="306"/>
      <c r="Q22" s="319"/>
      <c r="R22" s="306"/>
      <c r="S22" s="319"/>
      <c r="T22" s="306"/>
      <c r="U22" s="319"/>
    </row>
    <row r="23" s="2" customFormat="1" ht="7.5" customHeight="1"/>
    <row r="24" s="2" customFormat="1" ht="7.5" customHeight="1"/>
    <row r="25" s="2" customFormat="1" ht="7.5" customHeight="1"/>
    <row r="26" s="2" customFormat="1" ht="7.5" customHeight="1"/>
    <row r="27" s="2" customFormat="1" ht="7.5" customHeight="1"/>
    <row r="28" s="2" customFormat="1" ht="7.5" customHeight="1"/>
    <row r="29" s="2" customFormat="1" ht="7.5" customHeight="1"/>
    <row r="30" s="2" customFormat="1" ht="7.5" customHeight="1"/>
    <row r="31" s="2" customFormat="1" ht="7.5" customHeight="1"/>
    <row r="32" s="2" customFormat="1" ht="7.5" customHeight="1"/>
    <row r="33" s="2" customFormat="1" ht="7.5" customHeight="1"/>
    <row r="34" s="2" customFormat="1" ht="7.5" customHeight="1"/>
    <row r="35" s="2" customFormat="1" ht="7.5" customHeight="1"/>
    <row r="36" s="2" customFormat="1" ht="7.5" customHeight="1"/>
    <row r="37" s="2" customFormat="1" ht="7.5" customHeight="1"/>
    <row r="38" s="2" customFormat="1" ht="7.5" customHeight="1"/>
    <row r="39" s="2" customFormat="1" ht="7.5" customHeight="1"/>
    <row r="40" s="2" customFormat="1" ht="7.5" customHeight="1"/>
    <row r="41" s="2" customFormat="1" ht="7.5" customHeight="1"/>
    <row r="42" s="2" customFormat="1" ht="7.5" customHeight="1"/>
    <row r="43" s="2" customFormat="1" ht="7.5" customHeight="1"/>
    <row r="44" s="2" customFormat="1" ht="7.5" customHeight="1"/>
    <row r="45" s="2" customFormat="1" ht="7.5" customHeight="1"/>
    <row r="46" s="2" customFormat="1" ht="7.5" customHeight="1"/>
    <row r="47" s="2" customFormat="1" ht="7.5" customHeight="1"/>
    <row r="48" s="2" customFormat="1" ht="7.5" customHeight="1"/>
    <row r="49" s="2" customFormat="1" ht="7.5" customHeight="1"/>
    <row r="50" s="2" customFormat="1" ht="7.5" customHeight="1"/>
    <row r="51" s="2" customFormat="1" ht="7.5" customHeight="1"/>
    <row r="52" s="2" customFormat="1" ht="7.5" customHeight="1"/>
    <row r="53" s="2" customFormat="1" ht="12.75">
      <c r="A53" s="2" t="s">
        <v>34</v>
      </c>
    </row>
    <row r="54" s="2" customFormat="1" ht="12.75">
      <c r="A54" s="2" t="s">
        <v>37</v>
      </c>
    </row>
    <row r="55" s="2" customFormat="1" ht="12.75">
      <c r="A55" s="2" t="s">
        <v>35</v>
      </c>
    </row>
    <row r="56" ht="12.75">
      <c r="B56" s="2"/>
    </row>
    <row r="57" ht="12.75">
      <c r="B57" s="2"/>
    </row>
  </sheetData>
  <sheetProtection/>
  <mergeCells count="27">
    <mergeCell ref="A11:C11"/>
    <mergeCell ref="A9:A10"/>
    <mergeCell ref="A8:U8"/>
    <mergeCell ref="B10:C10"/>
    <mergeCell ref="A12:U12"/>
    <mergeCell ref="A13:A15"/>
    <mergeCell ref="B13:B14"/>
    <mergeCell ref="A1:U1"/>
    <mergeCell ref="A2:U2"/>
    <mergeCell ref="A3:A6"/>
    <mergeCell ref="B3:B6"/>
    <mergeCell ref="C3:C6"/>
    <mergeCell ref="D3:D6"/>
    <mergeCell ref="E3:E6"/>
    <mergeCell ref="F3:K3"/>
    <mergeCell ref="L3:M5"/>
    <mergeCell ref="N3:O5"/>
    <mergeCell ref="A16:C16"/>
    <mergeCell ref="B17:C17"/>
    <mergeCell ref="A22:U22"/>
    <mergeCell ref="P3:Q5"/>
    <mergeCell ref="R3:S5"/>
    <mergeCell ref="T3:U5"/>
    <mergeCell ref="F4:G5"/>
    <mergeCell ref="H4:I5"/>
    <mergeCell ref="J4:K5"/>
    <mergeCell ref="B15:C15"/>
  </mergeCells>
  <printOptions/>
  <pageMargins left="0.27" right="0.18" top="0.22" bottom="0.2" header="0.17" footer="0.17"/>
  <pageSetup horizontalDpi="1200" verticalDpi="1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ВМВ</dc:creator>
  <cp:keywords/>
  <dc:description/>
  <cp:lastModifiedBy>ООН</cp:lastModifiedBy>
  <cp:lastPrinted>2012-07-10T07:18:47Z</cp:lastPrinted>
  <dcterms:created xsi:type="dcterms:W3CDTF">2015-07-10T11:08:15Z</dcterms:created>
  <dcterms:modified xsi:type="dcterms:W3CDTF">2017-07-11T17:43:28Z</dcterms:modified>
  <cp:category/>
  <cp:version/>
  <cp:contentType/>
  <cp:contentStatus/>
</cp:coreProperties>
</file>